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<sst xmlns="http://schemas.openxmlformats.org/spreadsheetml/2006/main" count="4998" uniqueCount="3214">
  <si>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</si>
  <si>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</si>
  <si>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</si>
  <si>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</si>
  <si>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</si>
  <si>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</si>
  <si>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</si>
  <si>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</si>
  <si>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</si>
  <si>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</si>
  <si>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</si>
  <si>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</si>
  <si>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</si>
  <si>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</si>
  <si>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</si>
  <si>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</si>
  <si>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Cc - Paper and forest products, also printed matter (C16, C17, C18)</t>
  </si>
  <si>
    <t xml:space="preserve">ALB Albania</t>
  </si>
  <si>
    <t xml:space="preserve">D - Electric, Gas, Steam and Refrigeration</t>
  </si>
  <si>
    <t xml:space="preserve">ATG Antigua and Barbuda</t>
  </si>
  <si>
    <t xml:space="preserve">AUT Austria</t>
  </si>
  <si>
    <t xml:space="preserve">Ja</t>
  </si>
  <si>
    <t xml:space="preserve">Nein</t>
  </si>
  <si>
    <t xml:space="preserve">Cb - Textile production, clothing, leather and leather products (C13, C14, C15)</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</si>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</sst>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2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12"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12"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15" shrinkToFit="false"/>
      <protection locked="true" hidden="false"/>
    </xf>
    <xf numFmtId="165" fontId="16" fillId="9" borderId="0" xfId="0" applyFont="true" applyBorder="true" applyAlignment="true" applyProtection="false">
      <alignment horizontal="left" vertical="bottom" textRotation="0" wrapText="false" indent="15"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FF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35483085909"/>
          <c:y val="0.338302009073234"/>
          <c:w val="0.221343392552933"/>
          <c:h val="0.320618461253588"/>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0.191304347826087</c:v>
                </c:pt>
                <c:pt idx="1">
                  <c:v>0.209090909090909</c:v>
                </c:pt>
                <c:pt idx="2">
                  <c:v>0.195652173913043</c:v>
                </c:pt>
                <c:pt idx="3">
                  <c:v>0.3</c:v>
                </c:pt>
              </c:numCache>
            </c:numRef>
          </c:val>
        </c:ser>
        <c:axId val="60648536"/>
        <c:axId val="19857442"/>
      </c:radarChart>
      <c:catAx>
        <c:axId val="60648536"/>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19857442"/>
        <c:crosses val="autoZero"/>
        <c:auto val="1"/>
        <c:lblAlgn val="ctr"/>
        <c:lblOffset val="100"/>
        <c:noMultiLvlLbl val="0"/>
      </c:catAx>
      <c:valAx>
        <c:axId val="19857442"/>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60648536"/>
        <c:crosses val="autoZero"/>
        <c:crossBetween val="midCat"/>
        <c:majorUnit val="0.2"/>
      </c:valAx>
      <c:spPr>
        <a:noFill/>
        <a:ln w="25560">
          <a:noFill/>
        </a:ln>
      </c:spPr>
    </c:plotArea>
    <c:plotVisOnly val="1"/>
    <c:dispBlanksAs val="gap"/>
  </c:chart>
  <c:spPr>
    <a:noFill/>
    <a:ln w="648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1940610138035"/>
          <c:y val="0.375061728395062"/>
          <c:w val="0.23141166917991"/>
          <c:h val="0.312263374485597"/>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0.225</c:v>
                </c:pt>
                <c:pt idx="1">
                  <c:v>0.37</c:v>
                </c:pt>
                <c:pt idx="2">
                  <c:v>0.2</c:v>
                </c:pt>
                <c:pt idx="3">
                  <c:v>0.1</c:v>
                </c:pt>
                <c:pt idx="4">
                  <c:v>0.3</c:v>
                </c:pt>
              </c:numCache>
            </c:numRef>
          </c:val>
        </c:ser>
        <c:axId val="43860253"/>
        <c:axId val="11992773"/>
      </c:radarChart>
      <c:catAx>
        <c:axId val="43860253"/>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11992773"/>
        <c:crosses val="autoZero"/>
        <c:auto val="1"/>
        <c:lblAlgn val="ctr"/>
        <c:lblOffset val="100"/>
        <c:noMultiLvlLbl val="0"/>
      </c:catAx>
      <c:valAx>
        <c:axId val="11992773"/>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43860253"/>
        <c:crosses val="autoZero"/>
        <c:crossBetween val="midCat"/>
        <c:majorUnit val="0.2"/>
      </c:valAx>
      <c:spPr>
        <a:noFill/>
        <a:ln w="25560">
          <a:noFill/>
        </a:ln>
      </c:spPr>
    </c:plotArea>
    <c:plotVisOnly val="1"/>
    <c:dispBlanksAs val="gap"/>
  </c:chart>
  <c:spPr>
    <a:noFill/>
    <a:ln w="648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372478653632"/>
          <c:y val="0.237381769481878"/>
          <c:w val="0.403415418883801"/>
          <c:h val="0.520800200887252"/>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0.1</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14040469"/>
        <c:axId val="22932880"/>
      </c:radarChart>
      <c:catAx>
        <c:axId val="14040469"/>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22932880"/>
        <c:crosses val="autoZero"/>
        <c:auto val="1"/>
        <c:lblAlgn val="ctr"/>
        <c:lblOffset val="100"/>
        <c:noMultiLvlLbl val="0"/>
      </c:catAx>
      <c:valAx>
        <c:axId val="22932880"/>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14040469"/>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chart" Target="../charts/chart3.xml"/>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4426920</xdr:colOff>
      <xdr:row>2</xdr:row>
      <xdr:rowOff>26280</xdr:rowOff>
    </xdr:to>
    <xdr:pic>
      <xdr:nvPicPr>
        <xdr:cNvPr id="0" name="Picture 44" descr="ECG_EN-screen.png"/>
        <xdr:cNvPicPr/>
      </xdr:nvPicPr>
      <xdr:blipFill>
        <a:blip r:embed="rId1"/>
        <a:stretch/>
      </xdr:blipFill>
      <xdr:spPr>
        <a:xfrm>
          <a:off x="3636360" y="0"/>
          <a:ext cx="3017160" cy="921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7200</xdr:colOff>
      <xdr:row>5</xdr:row>
      <xdr:rowOff>55080</xdr:rowOff>
    </xdr:to>
    <xdr:pic>
      <xdr:nvPicPr>
        <xdr:cNvPr id="1" name="Picture 44" descr="ECG_EN-screen.png"/>
        <xdr:cNvPicPr/>
      </xdr:nvPicPr>
      <xdr:blipFill>
        <a:blip r:embed="rId1"/>
        <a:stretch/>
      </xdr:blipFill>
      <xdr:spPr>
        <a:xfrm>
          <a:off x="8505000" y="228240"/>
          <a:ext cx="1969200" cy="569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855000</xdr:colOff>
      <xdr:row>15</xdr:row>
      <xdr:rowOff>759960</xdr:rowOff>
    </xdr:to>
    <xdr:graphicFrame>
      <xdr:nvGraphicFramePr>
        <xdr:cNvPr id="2" name="Diagramm 1"/>
        <xdr:cNvGraphicFramePr/>
      </xdr:nvGraphicFramePr>
      <xdr:xfrm>
        <a:off x="9360" y="720000"/>
        <a:ext cx="5916600" cy="38880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502560</xdr:colOff>
      <xdr:row>3</xdr:row>
      <xdr:rowOff>140760</xdr:rowOff>
    </xdr:to>
    <xdr:pic>
      <xdr:nvPicPr>
        <xdr:cNvPr id="3" name="Grafik 3" descr=""/>
        <xdr:cNvPicPr/>
      </xdr:nvPicPr>
      <xdr:blipFill>
        <a:blip r:embed="rId2"/>
        <a:stretch/>
      </xdr:blipFill>
      <xdr:spPr>
        <a:xfrm>
          <a:off x="190800" y="217080"/>
          <a:ext cx="502560" cy="3769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975600</xdr:colOff>
      <xdr:row>15</xdr:row>
      <xdr:rowOff>1064520</xdr:rowOff>
    </xdr:to>
    <xdr:graphicFrame>
      <xdr:nvGraphicFramePr>
        <xdr:cNvPr id="4" name="Diagramm 1"/>
        <xdr:cNvGraphicFramePr/>
      </xdr:nvGraphicFramePr>
      <xdr:xfrm>
        <a:off x="152280" y="538920"/>
        <a:ext cx="6206760" cy="4373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435960</xdr:colOff>
      <xdr:row>3</xdr:row>
      <xdr:rowOff>45360</xdr:rowOff>
    </xdr:to>
    <xdr:pic>
      <xdr:nvPicPr>
        <xdr:cNvPr id="5" name="Grafik 3" descr=""/>
        <xdr:cNvPicPr/>
      </xdr:nvPicPr>
      <xdr:blipFill>
        <a:blip r:embed="rId2"/>
        <a:stretch/>
      </xdr:blipFill>
      <xdr:spPr>
        <a:xfrm>
          <a:off x="142920" y="123840"/>
          <a:ext cx="483840" cy="3747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455040</xdr:colOff>
      <xdr:row>3</xdr:row>
      <xdr:rowOff>45360</xdr:rowOff>
    </xdr:to>
    <xdr:pic>
      <xdr:nvPicPr>
        <xdr:cNvPr id="6" name="Grafik 3" descr=""/>
        <xdr:cNvPicPr/>
      </xdr:nvPicPr>
      <xdr:blipFill>
        <a:blip r:embed="rId1"/>
        <a:stretch/>
      </xdr:blipFill>
      <xdr:spPr>
        <a:xfrm>
          <a:off x="133200" y="123840"/>
          <a:ext cx="512640" cy="374760"/>
        </a:xfrm>
        <a:prstGeom prst="rect">
          <a:avLst/>
        </a:prstGeom>
        <a:ln w="0">
          <a:noFill/>
        </a:ln>
      </xdr:spPr>
    </xdr:pic>
    <xdr:clientData/>
  </xdr:twoCellAnchor>
  <xdr:twoCellAnchor editAs="oneCell">
    <xdr:from>
      <xdr:col>1</xdr:col>
      <xdr:colOff>38160</xdr:colOff>
      <xdr:row>3</xdr:row>
      <xdr:rowOff>95400</xdr:rowOff>
    </xdr:from>
    <xdr:to>
      <xdr:col>5</xdr:col>
      <xdr:colOff>975960</xdr:colOff>
      <xdr:row>15</xdr:row>
      <xdr:rowOff>1001160</xdr:rowOff>
    </xdr:to>
    <xdr:graphicFrame>
      <xdr:nvGraphicFramePr>
        <xdr:cNvPr id="7" name="Diagramm 2"/>
        <xdr:cNvGraphicFramePr/>
      </xdr:nvGraphicFramePr>
      <xdr:xfrm>
        <a:off x="228960" y="548640"/>
        <a:ext cx="5817960" cy="43005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5674680</xdr:colOff>
      <xdr:row>1</xdr:row>
      <xdr:rowOff>150120</xdr:rowOff>
    </xdr:to>
    <xdr:pic>
      <xdr:nvPicPr>
        <xdr:cNvPr id="8" name="Grafik 3" descr=""/>
        <xdr:cNvPicPr/>
      </xdr:nvPicPr>
      <xdr:blipFill>
        <a:blip r:embed="rId1"/>
        <a:stretch/>
      </xdr:blipFill>
      <xdr:spPr>
        <a:xfrm>
          <a:off x="8109000" y="152280"/>
          <a:ext cx="7200" cy="4168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7"/>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2" width="32.29"/>
    <col collapsed="false" customWidth="true" hidden="false" outlineLevel="0" max="2" min="2" style="382" width="2.31"/>
    <col collapsed="false" customWidth="true" hidden="false" outlineLevel="0" max="3" min="3" style="383" width="94.29"/>
    <col collapsed="false" customWidth="true" hidden="false" outlineLevel="0" max="4" min="4" style="383" width="4.71"/>
    <col collapsed="false" customWidth="false" hidden="false" outlineLevel="0" max="1024" min="5" style="383" width="10.29"/>
  </cols>
  <sheetData>
    <row r="1" customFormat="false" ht="33" hidden="false" customHeight="true" outlineLevel="0" collapsed="false">
      <c r="A1" s="384" t="str">
        <f aca="false">'12.lan'!D91&amp;" - "&amp;'0. Intro'!B3&amp;" "&amp;'0. Intro'!C3</f>
        <v>Common Good Balance Calculator - Version 5.04</v>
      </c>
      <c r="B1" s="385"/>
      <c r="C1" s="385"/>
      <c r="D1" s="385"/>
      <c r="E1" s="385"/>
      <c r="F1" s="385"/>
    </row>
    <row r="2" customFormat="false" ht="31.5" hidden="false" customHeight="true" outlineLevel="0" collapsed="false">
      <c r="A2" s="33" t="str">
        <f aca="false">'12.lan'!D204</f>
        <v>Description of the weighting model</v>
      </c>
      <c r="B2" s="33"/>
      <c r="C2" s="33"/>
      <c r="D2" s="386"/>
      <c r="E2" s="386"/>
    </row>
    <row r="3" customFormat="false" ht="12" hidden="false" customHeight="true" outlineLevel="0" collapsed="false">
      <c r="A3" s="386"/>
      <c r="B3" s="386"/>
      <c r="C3" s="386"/>
      <c r="D3" s="386"/>
      <c r="E3" s="386"/>
    </row>
    <row r="4" customFormat="false" ht="108" hidden="false" customHeight="true" outlineLevel="0" collapsed="false">
      <c r="A4" s="387" t="str">
        <f aca="false">'12.lan'!D208</f>
        <v>General</v>
      </c>
      <c r="B4" s="387"/>
      <c r="C4" s="388"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D4" s="386"/>
      <c r="E4" s="386"/>
    </row>
    <row r="5" customFormat="false" ht="78.75" hidden="false" customHeight="true" outlineLevel="0" collapsed="false">
      <c r="A5" s="387" t="str">
        <f aca="false">'12.lan'!D207</f>
        <v>Stakekolders &amp; values</v>
      </c>
      <c r="B5" s="387"/>
      <c r="C5" s="388"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89" t="str">
        <f aca="false">'12.lan'!D205</f>
        <v>Themes</v>
      </c>
      <c r="B6" s="389"/>
      <c r="C6" s="390"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1" t="s">
        <v>29</v>
      </c>
      <c r="B7" s="391"/>
      <c r="C7" s="390" t="s">
        <v>170</v>
      </c>
    </row>
    <row r="8" customFormat="false" ht="18.75" hidden="false" customHeight="true" outlineLevel="0" collapsed="false">
      <c r="A8" s="392" t="s">
        <v>32</v>
      </c>
      <c r="B8" s="392"/>
      <c r="C8" s="390" t="str">
        <f aca="false">'12.lan'!D248</f>
        <v>-</v>
      </c>
    </row>
    <row r="9" customFormat="false" ht="26.25" hidden="false" customHeight="true" outlineLevel="0" collapsed="false">
      <c r="A9" s="393" t="s">
        <v>36</v>
      </c>
      <c r="B9" s="393"/>
      <c r="C9" s="390" t="str">
        <f aca="false">'12.lan'!D249</f>
        <v>The weighting of this theme is dependent on the environmental effect of the supplier's sector (see sheet “Industry").</v>
      </c>
    </row>
    <row r="10" customFormat="false" ht="24.75" hidden="false" customHeight="true" outlineLevel="0" collapsed="false">
      <c r="A10" s="393" t="s">
        <v>39</v>
      </c>
      <c r="B10" s="393"/>
      <c r="C10" s="390"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3" t="s">
        <v>43</v>
      </c>
      <c r="B11" s="393"/>
      <c r="C11" s="390" t="str">
        <f aca="false">'12.lan'!D251</f>
        <v>The weighting of this theme depends on the ratio turnover to the balance sheet total.</v>
      </c>
    </row>
    <row r="12" customFormat="false" ht="20.25" hidden="false" customHeight="true" outlineLevel="0" collapsed="false">
      <c r="A12" s="393" t="s">
        <v>47</v>
      </c>
      <c r="B12" s="393"/>
      <c r="C12" s="390" t="str">
        <f aca="false">'12.lan'!D252</f>
        <v>The weighting of this theme depends on the ratio profit to turnover</v>
      </c>
    </row>
    <row r="13" customFormat="false" ht="20.25" hidden="false" customHeight="true" outlineLevel="0" collapsed="false">
      <c r="A13" s="393" t="s">
        <v>50</v>
      </c>
      <c r="B13" s="393"/>
      <c r="C13" s="390" t="str">
        <f aca="false">'12.lan'!D253</f>
        <v>The weighting of this theme is dependent on additions to fixed-assets and financial assets in relation to the balance sheet total.</v>
      </c>
    </row>
    <row r="14" customFormat="false" ht="20.25" hidden="false" customHeight="true" outlineLevel="0" collapsed="false">
      <c r="A14" s="393" t="s">
        <v>54</v>
      </c>
      <c r="B14" s="393"/>
      <c r="C14" s="390" t="str">
        <f aca="false">'12.lan'!D254</f>
        <v>The weighting of this theme is dependent on the size of the company.</v>
      </c>
    </row>
    <row r="15" customFormat="false" ht="20.25" hidden="false" customHeight="true" outlineLevel="0" collapsed="false">
      <c r="A15" s="393" t="s">
        <v>58</v>
      </c>
      <c r="B15" s="393"/>
      <c r="C15" s="390" t="str">
        <f aca="false">'12.lan'!D255</f>
        <v>-</v>
      </c>
    </row>
    <row r="16" customFormat="false" ht="20.25" hidden="false" customHeight="true" outlineLevel="0" collapsed="false">
      <c r="A16" s="393" t="s">
        <v>63</v>
      </c>
      <c r="B16" s="393"/>
      <c r="C16" s="390" t="str">
        <f aca="false">'12.lan'!D256</f>
        <v>-</v>
      </c>
    </row>
    <row r="17" customFormat="false" ht="26.25" hidden="false" customHeight="true" outlineLevel="0" collapsed="false">
      <c r="A17" s="393" t="s">
        <v>68</v>
      </c>
      <c r="B17" s="393"/>
      <c r="C17" s="390" t="str">
        <f aca="false">'12.lan'!D257</f>
        <v>The weighting of this theme is dependent on the existence of a canteen for most of the employees as well as an (estimated) average commute to work.</v>
      </c>
    </row>
    <row r="18" customFormat="false" ht="24.75" hidden="false" customHeight="true" outlineLevel="0" collapsed="false">
      <c r="A18" s="393" t="s">
        <v>73</v>
      </c>
      <c r="B18" s="393"/>
      <c r="C18" s="390"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3" t="s">
        <v>79</v>
      </c>
      <c r="B19" s="393"/>
      <c r="C19" s="390" t="str">
        <f aca="false">'12.lan'!D259</f>
        <v>-</v>
      </c>
    </row>
    <row r="20" customFormat="false" ht="16.5" hidden="false" customHeight="true" outlineLevel="0" collapsed="false">
      <c r="A20" s="393" t="s">
        <v>83</v>
      </c>
      <c r="B20" s="393"/>
      <c r="C20" s="390" t="str">
        <f aca="false">'12.lan'!D260</f>
        <v>-</v>
      </c>
    </row>
    <row r="21" customFormat="false" ht="16.5" hidden="false" customHeight="true" outlineLevel="0" collapsed="false">
      <c r="A21" s="393" t="s">
        <v>87</v>
      </c>
      <c r="B21" s="393"/>
      <c r="C21" s="390" t="str">
        <f aca="false">'12.lan'!D261</f>
        <v>The weighting of this theme depends on the industry sector.</v>
      </c>
    </row>
    <row r="22" customFormat="false" ht="16.5" hidden="false" customHeight="true" outlineLevel="0" collapsed="false">
      <c r="A22" s="393" t="s">
        <v>91</v>
      </c>
      <c r="B22" s="393"/>
      <c r="C22" s="390" t="str">
        <f aca="false">'12.lan'!D262</f>
        <v>The weighting of this theme depends on whether customers are primarily individuals or companies.</v>
      </c>
    </row>
    <row r="23" customFormat="false" ht="16.5" hidden="false" customHeight="true" outlineLevel="0" collapsed="false">
      <c r="A23" s="393" t="s">
        <v>95</v>
      </c>
      <c r="B23" s="393"/>
      <c r="C23" s="390" t="str">
        <f aca="false">'12.lan'!D263</f>
        <v>-</v>
      </c>
    </row>
    <row r="24" customFormat="false" ht="16.5" hidden="false" customHeight="true" outlineLevel="0" collapsed="false">
      <c r="A24" s="393" t="s">
        <v>99</v>
      </c>
      <c r="B24" s="393"/>
      <c r="C24" s="390" t="str">
        <f aca="false">'12.lan'!D264</f>
        <v>The weighting of this theme is dependent on the return on sales (profit/turnover).</v>
      </c>
    </row>
    <row r="25" customFormat="false" ht="16.5" hidden="false" customHeight="true" outlineLevel="0" collapsed="false">
      <c r="A25" s="393" t="s">
        <v>104</v>
      </c>
      <c r="B25" s="393"/>
      <c r="C25" s="390" t="str">
        <f aca="false">'12.lan'!D265</f>
        <v>The weighting of this theme depends on the industry sector.</v>
      </c>
    </row>
    <row r="26" customFormat="false" ht="16.5" hidden="false" customHeight="true" outlineLevel="0" collapsed="false">
      <c r="A26" s="394" t="s">
        <v>108</v>
      </c>
      <c r="B26" s="394"/>
      <c r="C26" s="390"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395" width="6.28"/>
    <col collapsed="false" customWidth="true" hidden="false" outlineLevel="0" max="2" min="2" style="395" width="43.29"/>
    <col collapsed="false" customWidth="true" hidden="false" outlineLevel="0" max="3" min="3" style="396" width="5.01"/>
    <col collapsed="false" customWidth="true" hidden="false" outlineLevel="0" max="4" min="4" style="395" width="1.29"/>
    <col collapsed="false" customWidth="true" hidden="false" outlineLevel="0" max="5" min="5" style="395" width="7.87"/>
    <col collapsed="false" customWidth="true" hidden="false" outlineLevel="0" max="6" min="6" style="395" width="12.29"/>
    <col collapsed="false" customWidth="true" hidden="true" outlineLevel="0" max="7" min="7" style="395" width="9.29"/>
    <col collapsed="false" customWidth="true" hidden="true" outlineLevel="0" max="8" min="8" style="395" width="20.86"/>
    <col collapsed="false" customWidth="true" hidden="false" outlineLevel="0" max="9" min="9" style="396" width="7.87"/>
    <col collapsed="false" customWidth="true" hidden="false" outlineLevel="0" max="10" min="10" style="395" width="14.86"/>
    <col collapsed="false" customWidth="true" hidden="false" outlineLevel="0" max="11" min="11" style="396" width="7.87"/>
    <col collapsed="false" customWidth="true" hidden="false" outlineLevel="0" max="12" min="12" style="395" width="14.28"/>
    <col collapsed="false" customWidth="true" hidden="false" outlineLevel="0" max="13" min="13" style="395" width="7.87"/>
    <col collapsed="false" customWidth="true" hidden="false" outlineLevel="0" max="14" min="14" style="395" width="9.85"/>
    <col collapsed="false" customWidth="true" hidden="false" outlineLevel="0" max="15" min="15" style="395" width="2.31"/>
    <col collapsed="false" customWidth="true" hidden="false" outlineLevel="0" max="16" min="16" style="395" width="7.87"/>
    <col collapsed="false" customWidth="true" hidden="false" outlineLevel="0" max="17" min="17" style="395" width="16.29"/>
    <col collapsed="false" customWidth="false" hidden="false" outlineLevel="0" max="1024" min="18" style="395" width="10.29"/>
  </cols>
  <sheetData>
    <row r="1" customFormat="false" ht="29.25" hidden="false" customHeight="true" outlineLevel="0" collapsed="false">
      <c r="A1" s="397" t="s">
        <v>171</v>
      </c>
      <c r="B1" s="397"/>
      <c r="C1" s="397"/>
      <c r="D1" s="397"/>
      <c r="E1" s="397"/>
      <c r="F1" s="397"/>
      <c r="G1" s="397"/>
      <c r="H1" s="397"/>
      <c r="I1" s="397"/>
      <c r="J1" s="397"/>
      <c r="K1" s="397"/>
      <c r="L1" s="397"/>
      <c r="M1" s="397"/>
      <c r="N1" s="397"/>
      <c r="O1" s="397"/>
      <c r="P1" s="397"/>
      <c r="Q1" s="397"/>
    </row>
    <row r="2" customFormat="false" ht="22.5" hidden="false" customHeight="true" outlineLevel="0" collapsed="false">
      <c r="A2" s="398"/>
      <c r="B2" s="399" t="s">
        <v>172</v>
      </c>
      <c r="C2" s="400"/>
      <c r="D2" s="400"/>
      <c r="E2" s="401" t="s">
        <v>173</v>
      </c>
      <c r="F2" s="401"/>
      <c r="G2" s="402" t="s">
        <v>174</v>
      </c>
      <c r="H2" s="402"/>
      <c r="I2" s="403" t="s">
        <v>175</v>
      </c>
      <c r="J2" s="403"/>
      <c r="K2" s="400" t="s">
        <v>176</v>
      </c>
      <c r="L2" s="400"/>
      <c r="M2" s="404" t="s">
        <v>177</v>
      </c>
      <c r="N2" s="404"/>
      <c r="O2" s="405" t="s">
        <v>178</v>
      </c>
      <c r="P2" s="405"/>
      <c r="Q2" s="405"/>
      <c r="R2" s="406"/>
      <c r="S2" s="406"/>
    </row>
    <row r="3" customFormat="false" ht="111" hidden="false" customHeight="true" outlineLevel="0" collapsed="false">
      <c r="A3" s="407"/>
      <c r="B3" s="408" t="s">
        <v>179</v>
      </c>
      <c r="C3" s="409"/>
      <c r="D3" s="410"/>
      <c r="E3" s="411" t="s">
        <v>180</v>
      </c>
      <c r="F3" s="410" t="s">
        <v>181</v>
      </c>
      <c r="G3" s="412" t="s">
        <v>180</v>
      </c>
      <c r="H3" s="412" t="s">
        <v>182</v>
      </c>
      <c r="I3" s="413" t="s">
        <v>180</v>
      </c>
      <c r="J3" s="414" t="s">
        <v>183</v>
      </c>
      <c r="K3" s="409" t="s">
        <v>180</v>
      </c>
      <c r="L3" s="410" t="s">
        <v>184</v>
      </c>
      <c r="M3" s="415" t="s">
        <v>180</v>
      </c>
      <c r="N3" s="414" t="s">
        <v>185</v>
      </c>
      <c r="O3" s="416"/>
      <c r="P3" s="417" t="s">
        <v>180</v>
      </c>
      <c r="Q3" s="418" t="s">
        <v>186</v>
      </c>
    </row>
    <row r="4" customFormat="false" ht="71.1" hidden="false" customHeight="true" outlineLevel="0" collapsed="false">
      <c r="A4" s="419" t="s">
        <v>187</v>
      </c>
      <c r="B4" s="420" t="str">
        <f aca="false">'12.lan'!D268</f>
        <v>A - agriculture, forestry management, fishing industry</v>
      </c>
      <c r="C4" s="421"/>
      <c r="D4" s="422"/>
      <c r="E4" s="423" t="s">
        <v>168</v>
      </c>
      <c r="F4" s="422"/>
      <c r="G4" s="424"/>
      <c r="H4" s="424" t="s">
        <v>188</v>
      </c>
      <c r="I4" s="425" t="s">
        <v>166</v>
      </c>
      <c r="J4" s="426" t="s">
        <v>189</v>
      </c>
      <c r="K4" s="421" t="s">
        <v>168</v>
      </c>
      <c r="L4" s="422" t="s">
        <v>190</v>
      </c>
      <c r="M4" s="427" t="s">
        <v>166</v>
      </c>
      <c r="N4" s="428"/>
      <c r="O4" s="416"/>
      <c r="P4" s="429" t="s">
        <v>168</v>
      </c>
      <c r="Q4" s="418"/>
    </row>
    <row r="5" customFormat="false" ht="21" hidden="false" customHeight="true" outlineLevel="0" collapsed="false">
      <c r="A5" s="430" t="s">
        <v>191</v>
      </c>
      <c r="B5" s="420" t="str">
        <f aca="false">'12.lan'!D269</f>
        <v>B - Mining and quarrying</v>
      </c>
      <c r="C5" s="431"/>
      <c r="D5" s="432"/>
      <c r="E5" s="433" t="s">
        <v>168</v>
      </c>
      <c r="F5" s="432"/>
      <c r="G5" s="434"/>
      <c r="H5" s="434"/>
      <c r="I5" s="435" t="s">
        <v>166</v>
      </c>
      <c r="J5" s="436"/>
      <c r="K5" s="431" t="s">
        <v>168</v>
      </c>
      <c r="L5" s="432" t="s">
        <v>192</v>
      </c>
      <c r="M5" s="437" t="s">
        <v>168</v>
      </c>
      <c r="N5" s="436"/>
      <c r="O5" s="416"/>
      <c r="P5" s="429" t="s">
        <v>168</v>
      </c>
      <c r="Q5" s="418"/>
    </row>
    <row r="6" customFormat="false" ht="20.1" hidden="false" customHeight="true" outlineLevel="0" collapsed="false">
      <c r="A6" s="430" t="s">
        <v>193</v>
      </c>
      <c r="B6" s="420" t="str">
        <f aca="false">'12.lan'!D270</f>
        <v>C - Manufacturing industries (not further specified)</v>
      </c>
      <c r="C6" s="431"/>
      <c r="D6" s="438"/>
      <c r="E6" s="439" t="s">
        <v>167</v>
      </c>
      <c r="F6" s="438"/>
      <c r="G6" s="440"/>
      <c r="H6" s="440"/>
      <c r="I6" s="435" t="s">
        <v>166</v>
      </c>
      <c r="J6" s="436"/>
      <c r="K6" s="431" t="s">
        <v>167</v>
      </c>
      <c r="L6" s="438" t="s">
        <v>194</v>
      </c>
      <c r="M6" s="437" t="s">
        <v>167</v>
      </c>
      <c r="N6" s="436"/>
      <c r="O6" s="416"/>
      <c r="P6" s="429" t="s">
        <v>167</v>
      </c>
      <c r="Q6" s="418"/>
    </row>
    <row r="7" customFormat="false" ht="9.75" hidden="false" customHeight="true" outlineLevel="0" collapsed="false">
      <c r="A7" s="430" t="s">
        <v>195</v>
      </c>
      <c r="B7" s="420" t="str">
        <f aca="false">'12.lan'!D271</f>
        <v>Ca - Food production, drinks and tobacco (C10, C11, C12)</v>
      </c>
      <c r="C7" s="431"/>
      <c r="D7" s="441"/>
      <c r="E7" s="442" t="s">
        <v>168</v>
      </c>
      <c r="F7" s="441"/>
      <c r="G7" s="443"/>
      <c r="H7" s="443"/>
      <c r="I7" s="435" t="s">
        <v>166</v>
      </c>
      <c r="J7" s="436"/>
      <c r="K7" s="431" t="s">
        <v>166</v>
      </c>
      <c r="L7" s="441"/>
      <c r="M7" s="437" t="s">
        <v>166</v>
      </c>
      <c r="N7" s="436"/>
      <c r="O7" s="416"/>
      <c r="P7" s="429" t="s">
        <v>168</v>
      </c>
      <c r="Q7" s="418"/>
    </row>
    <row r="8" customFormat="false" ht="9.75" hidden="false" customHeight="true" outlineLevel="0" collapsed="false">
      <c r="A8" s="430" t="s">
        <v>196</v>
      </c>
      <c r="B8" s="420" t="str">
        <f aca="false">'12.lan'!D272</f>
        <v>Cb - Textile production, clothing, leather and leather products (C13, C14, C15)</v>
      </c>
      <c r="C8" s="431"/>
      <c r="D8" s="441"/>
      <c r="E8" s="442" t="s">
        <v>168</v>
      </c>
      <c r="F8" s="441"/>
      <c r="G8" s="443"/>
      <c r="H8" s="443"/>
      <c r="I8" s="435" t="s">
        <v>166</v>
      </c>
      <c r="J8" s="436"/>
      <c r="K8" s="431" t="s">
        <v>167</v>
      </c>
      <c r="L8" s="441"/>
      <c r="M8" s="437" t="s">
        <v>166</v>
      </c>
      <c r="N8" s="436"/>
      <c r="O8" s="416"/>
      <c r="P8" s="429" t="s">
        <v>168</v>
      </c>
      <c r="Q8" s="418"/>
    </row>
    <row r="9" customFormat="false" ht="9.75" hidden="false" customHeight="true" outlineLevel="0" collapsed="false">
      <c r="A9" s="430" t="s">
        <v>197</v>
      </c>
      <c r="B9" s="420" t="str">
        <f aca="false">'12.lan'!D273</f>
        <v>Cc - Paper and forest products, also printed matter (C16, C17, C18)</v>
      </c>
      <c r="C9" s="431"/>
      <c r="D9" s="441"/>
      <c r="E9" s="442" t="s">
        <v>167</v>
      </c>
      <c r="F9" s="441"/>
      <c r="G9" s="443"/>
      <c r="H9" s="443"/>
      <c r="I9" s="435" t="s">
        <v>166</v>
      </c>
      <c r="J9" s="436"/>
      <c r="K9" s="431" t="s">
        <v>167</v>
      </c>
      <c r="L9" s="441"/>
      <c r="M9" s="437" t="s">
        <v>166</v>
      </c>
      <c r="N9" s="436"/>
      <c r="O9" s="416"/>
      <c r="P9" s="429" t="s">
        <v>168</v>
      </c>
      <c r="Q9" s="418"/>
    </row>
    <row r="10" customFormat="false" ht="9.75" hidden="false" customHeight="true" outlineLevel="0" collapsed="false">
      <c r="A10" s="430" t="s">
        <v>198</v>
      </c>
      <c r="B10" s="420" t="str">
        <f aca="false">'12.lan'!D274</f>
        <v>Cd - Production of petrochemical products and plastics (C19, C20;C22)</v>
      </c>
      <c r="C10" s="431"/>
      <c r="D10" s="441"/>
      <c r="E10" s="442" t="s">
        <v>168</v>
      </c>
      <c r="F10" s="441"/>
      <c r="G10" s="443"/>
      <c r="H10" s="443"/>
      <c r="I10" s="435" t="s">
        <v>166</v>
      </c>
      <c r="J10" s="436"/>
      <c r="K10" s="431" t="s">
        <v>167</v>
      </c>
      <c r="L10" s="441"/>
      <c r="M10" s="437" t="s">
        <v>167</v>
      </c>
      <c r="N10" s="436"/>
      <c r="O10" s="416"/>
      <c r="P10" s="429" t="s">
        <v>168</v>
      </c>
      <c r="Q10" s="418"/>
    </row>
    <row r="11" customFormat="false" ht="20.1" hidden="false" customHeight="true" outlineLevel="0" collapsed="false">
      <c r="A11" s="430" t="s">
        <v>199</v>
      </c>
      <c r="B11" s="420" t="str">
        <f aca="false">'12.lan'!D275</f>
        <v>Ce - Pharmaceutical products and preparations (C21)</v>
      </c>
      <c r="C11" s="431"/>
      <c r="D11" s="441"/>
      <c r="E11" s="442" t="s">
        <v>166</v>
      </c>
      <c r="F11" s="441"/>
      <c r="G11" s="443"/>
      <c r="H11" s="443"/>
      <c r="I11" s="435" t="s">
        <v>167</v>
      </c>
      <c r="J11" s="444" t="s">
        <v>200</v>
      </c>
      <c r="K11" s="431" t="s">
        <v>167</v>
      </c>
      <c r="L11" s="441"/>
      <c r="M11" s="437" t="s">
        <v>167</v>
      </c>
      <c r="N11" s="436"/>
      <c r="O11" s="416"/>
      <c r="P11" s="429" t="s">
        <v>167</v>
      </c>
      <c r="Q11" s="418"/>
    </row>
    <row r="12" customFormat="false" ht="9.75" hidden="false" customHeight="true" outlineLevel="0" collapsed="false">
      <c r="A12" s="430" t="s">
        <v>201</v>
      </c>
      <c r="B12" s="420" t="str">
        <f aca="false">'12.lan'!D276</f>
        <v>Cf - Production of non-metallic minerals (C23)</v>
      </c>
      <c r="C12" s="431"/>
      <c r="D12" s="441"/>
      <c r="E12" s="442" t="s">
        <v>167</v>
      </c>
      <c r="F12" s="441"/>
      <c r="G12" s="443"/>
      <c r="H12" s="443"/>
      <c r="I12" s="435" t="s">
        <v>166</v>
      </c>
      <c r="J12" s="444"/>
      <c r="K12" s="431" t="s">
        <v>167</v>
      </c>
      <c r="L12" s="441"/>
      <c r="M12" s="437" t="s">
        <v>167</v>
      </c>
      <c r="N12" s="436"/>
      <c r="O12" s="416"/>
      <c r="P12" s="429" t="s">
        <v>167</v>
      </c>
      <c r="Q12" s="418"/>
    </row>
    <row r="13" customFormat="false" ht="9.75" hidden="false" customHeight="true" outlineLevel="0" collapsed="false">
      <c r="A13" s="430" t="s">
        <v>202</v>
      </c>
      <c r="B13" s="420" t="str">
        <f aca="false">'12.lan'!D277</f>
        <v>Cg - Production of metal and metallic products (excl. machines and equipment) (C24, C25)</v>
      </c>
      <c r="C13" s="431"/>
      <c r="D13" s="441"/>
      <c r="E13" s="442" t="s">
        <v>168</v>
      </c>
      <c r="F13" s="441"/>
      <c r="G13" s="443"/>
      <c r="H13" s="443"/>
      <c r="I13" s="435" t="s">
        <v>166</v>
      </c>
      <c r="J13" s="444"/>
      <c r="K13" s="431" t="s">
        <v>167</v>
      </c>
      <c r="L13" s="441"/>
      <c r="M13" s="437" t="s">
        <v>167</v>
      </c>
      <c r="N13" s="436"/>
      <c r="O13" s="416"/>
      <c r="P13" s="429" t="s">
        <v>168</v>
      </c>
      <c r="Q13" s="418"/>
    </row>
    <row r="14" customFormat="false" ht="9.75" hidden="false" customHeight="true" outlineLevel="0" collapsed="false">
      <c r="A14" s="430" t="s">
        <v>203</v>
      </c>
      <c r="B14" s="420" t="str">
        <f aca="false">'12.lan'!D278</f>
        <v>Ch - Production of electronic equipment, instruments and components as well as computers (C26, C27, C28)</v>
      </c>
      <c r="C14" s="431"/>
      <c r="D14" s="441"/>
      <c r="E14" s="442" t="s">
        <v>168</v>
      </c>
      <c r="F14" s="441"/>
      <c r="G14" s="443"/>
      <c r="H14" s="443"/>
      <c r="I14" s="435" t="s">
        <v>167</v>
      </c>
      <c r="J14" s="444"/>
      <c r="K14" s="431" t="s">
        <v>167</v>
      </c>
      <c r="L14" s="441"/>
      <c r="M14" s="437" t="s">
        <v>167</v>
      </c>
      <c r="N14" s="436"/>
      <c r="O14" s="416"/>
      <c r="P14" s="429" t="s">
        <v>168</v>
      </c>
      <c r="Q14" s="418"/>
    </row>
    <row r="15" customFormat="false" ht="20.1" hidden="false" customHeight="true" outlineLevel="0" collapsed="false">
      <c r="A15" s="430" t="s">
        <v>204</v>
      </c>
      <c r="B15" s="420" t="str">
        <f aca="false">'12.lan'!D279</f>
        <v>D - Electric, Gas, Steam and Refrigeration</v>
      </c>
      <c r="C15" s="431"/>
      <c r="D15" s="445"/>
      <c r="E15" s="446" t="s">
        <v>166</v>
      </c>
      <c r="F15" s="447"/>
      <c r="G15" s="448"/>
      <c r="H15" s="448"/>
      <c r="I15" s="435" t="s">
        <v>166</v>
      </c>
      <c r="J15" s="436"/>
      <c r="K15" s="431" t="s">
        <v>168</v>
      </c>
      <c r="L15" s="445" t="s">
        <v>205</v>
      </c>
      <c r="M15" s="437" t="s">
        <v>167</v>
      </c>
      <c r="N15" s="436"/>
      <c r="O15" s="416"/>
      <c r="P15" s="429" t="s">
        <v>168</v>
      </c>
      <c r="Q15" s="418"/>
    </row>
    <row r="16" customFormat="false" ht="20.1" hidden="false" customHeight="true" outlineLevel="0" collapsed="false">
      <c r="A16" s="430" t="s">
        <v>206</v>
      </c>
      <c r="B16" s="420" t="str">
        <f aca="false">'12.lan'!D280</f>
        <v>E - Water supply, waste management</v>
      </c>
      <c r="C16" s="431"/>
      <c r="D16" s="432"/>
      <c r="E16" s="433" t="s">
        <v>166</v>
      </c>
      <c r="F16" s="432"/>
      <c r="G16" s="434"/>
      <c r="H16" s="434"/>
      <c r="I16" s="435" t="s">
        <v>167</v>
      </c>
      <c r="J16" s="436"/>
      <c r="K16" s="431" t="s">
        <v>167</v>
      </c>
      <c r="L16" s="432"/>
      <c r="M16" s="437" t="s">
        <v>167</v>
      </c>
      <c r="N16" s="436"/>
      <c r="O16" s="416"/>
      <c r="P16" s="429" t="s">
        <v>166</v>
      </c>
      <c r="Q16" s="418"/>
    </row>
    <row r="17" customFormat="false" ht="39.75" hidden="false" customHeight="true" outlineLevel="0" collapsed="false">
      <c r="A17" s="430" t="s">
        <v>207</v>
      </c>
      <c r="B17" s="420" t="str">
        <f aca="false">'12.lan'!D281</f>
        <v>F - Construction industry</v>
      </c>
      <c r="C17" s="431"/>
      <c r="D17" s="432"/>
      <c r="E17" s="433" t="s">
        <v>168</v>
      </c>
      <c r="F17" s="432"/>
      <c r="G17" s="434"/>
      <c r="H17" s="434"/>
      <c r="I17" s="435" t="s">
        <v>168</v>
      </c>
      <c r="J17" s="436"/>
      <c r="K17" s="431" t="s">
        <v>168</v>
      </c>
      <c r="L17" s="432" t="s">
        <v>208</v>
      </c>
      <c r="M17" s="437" t="s">
        <v>168</v>
      </c>
      <c r="N17" s="436"/>
      <c r="O17" s="416"/>
      <c r="P17" s="429" t="s">
        <v>168</v>
      </c>
      <c r="Q17" s="418"/>
    </row>
    <row r="18" customFormat="false" ht="9.75" hidden="false" customHeight="true" outlineLevel="0" collapsed="false">
      <c r="A18" s="430" t="s">
        <v>209</v>
      </c>
      <c r="B18" s="420" t="str">
        <f aca="false">'12.lan'!D282</f>
        <v>G - Wholesale and retail</v>
      </c>
      <c r="C18" s="431"/>
      <c r="D18" s="432"/>
      <c r="E18" s="433" t="s">
        <v>166</v>
      </c>
      <c r="F18" s="432"/>
      <c r="G18" s="434"/>
      <c r="H18" s="434"/>
      <c r="I18" s="435" t="s">
        <v>168</v>
      </c>
      <c r="J18" s="436"/>
      <c r="K18" s="431" t="s">
        <v>166</v>
      </c>
      <c r="L18" s="432"/>
      <c r="M18" s="437" t="s">
        <v>166</v>
      </c>
      <c r="N18" s="436"/>
      <c r="O18" s="416"/>
      <c r="P18" s="429" t="s">
        <v>167</v>
      </c>
      <c r="Q18" s="418"/>
    </row>
    <row r="19" customFormat="false" ht="9.75" hidden="false" customHeight="true" outlineLevel="0" collapsed="false">
      <c r="A19" s="430" t="s">
        <v>210</v>
      </c>
      <c r="B19" s="420" t="str">
        <f aca="false">'12.lan'!D283</f>
        <v>H - Transport and warehousing</v>
      </c>
      <c r="C19" s="431"/>
      <c r="D19" s="432"/>
      <c r="E19" s="433" t="s">
        <v>166</v>
      </c>
      <c r="F19" s="432"/>
      <c r="G19" s="434"/>
      <c r="H19" s="434"/>
      <c r="I19" s="435" t="s">
        <v>166</v>
      </c>
      <c r="J19" s="436"/>
      <c r="K19" s="431" t="s">
        <v>168</v>
      </c>
      <c r="L19" s="432"/>
      <c r="M19" s="437" t="s">
        <v>166</v>
      </c>
      <c r="N19" s="436"/>
      <c r="O19" s="416"/>
      <c r="P19" s="429" t="s">
        <v>167</v>
      </c>
      <c r="Q19" s="418"/>
    </row>
    <row r="20" customFormat="false" ht="9.75" hidden="false" customHeight="true" outlineLevel="0" collapsed="false">
      <c r="A20" s="430" t="s">
        <v>211</v>
      </c>
      <c r="B20" s="420" t="str">
        <f aca="false">'12.lan'!D284</f>
        <v>I - Accommodation and catering</v>
      </c>
      <c r="C20" s="431"/>
      <c r="D20" s="432"/>
      <c r="E20" s="433" t="s">
        <v>167</v>
      </c>
      <c r="F20" s="432"/>
      <c r="G20" s="434"/>
      <c r="H20" s="434"/>
      <c r="I20" s="435" t="s">
        <v>166</v>
      </c>
      <c r="J20" s="436"/>
      <c r="K20" s="431" t="s">
        <v>167</v>
      </c>
      <c r="L20" s="432"/>
      <c r="M20" s="437" t="s">
        <v>166</v>
      </c>
      <c r="N20" s="436"/>
      <c r="O20" s="416"/>
      <c r="P20" s="429" t="s">
        <v>167</v>
      </c>
      <c r="Q20" s="418"/>
    </row>
    <row r="21" customFormat="false" ht="9.75" hidden="false" customHeight="true" outlineLevel="0" collapsed="false">
      <c r="A21" s="430" t="s">
        <v>212</v>
      </c>
      <c r="B21" s="420" t="str">
        <f aca="false">'12.lan'!D285</f>
        <v>J - Information and Communication</v>
      </c>
      <c r="C21" s="431"/>
      <c r="D21" s="432"/>
      <c r="E21" s="433" t="s">
        <v>166</v>
      </c>
      <c r="F21" s="432"/>
      <c r="G21" s="434"/>
      <c r="H21" s="434"/>
      <c r="I21" s="435" t="s">
        <v>166</v>
      </c>
      <c r="J21" s="436"/>
      <c r="K21" s="431" t="s">
        <v>167</v>
      </c>
      <c r="L21" s="432"/>
      <c r="M21" s="437" t="s">
        <v>166</v>
      </c>
      <c r="N21" s="436"/>
      <c r="O21" s="416"/>
      <c r="P21" s="429" t="s">
        <v>167</v>
      </c>
      <c r="Q21" s="418"/>
    </row>
    <row r="22" customFormat="false" ht="9.75" hidden="false" customHeight="true" outlineLevel="0" collapsed="false">
      <c r="A22" s="430" t="s">
        <v>213</v>
      </c>
      <c r="B22" s="420" t="str">
        <f aca="false">'12.lan'!D286</f>
        <v>K - Financial services</v>
      </c>
      <c r="C22" s="431"/>
      <c r="D22" s="432"/>
      <c r="E22" s="433" t="s">
        <v>166</v>
      </c>
      <c r="F22" s="432"/>
      <c r="G22" s="434"/>
      <c r="H22" s="434"/>
      <c r="I22" s="435" t="s">
        <v>168</v>
      </c>
      <c r="J22" s="436"/>
      <c r="K22" s="431" t="s">
        <v>166</v>
      </c>
      <c r="L22" s="432"/>
      <c r="M22" s="437" t="s">
        <v>166</v>
      </c>
      <c r="N22" s="436"/>
      <c r="O22" s="416"/>
      <c r="P22" s="429" t="s">
        <v>166</v>
      </c>
      <c r="Q22" s="418"/>
    </row>
    <row r="23" customFormat="false" ht="9.75" hidden="false" customHeight="true" outlineLevel="0" collapsed="false">
      <c r="A23" s="430" t="s">
        <v>214</v>
      </c>
      <c r="B23" s="420" t="str">
        <f aca="false">'12.lan'!D287</f>
        <v>L - Real estate</v>
      </c>
      <c r="C23" s="431"/>
      <c r="D23" s="432"/>
      <c r="E23" s="433" t="s">
        <v>166</v>
      </c>
      <c r="F23" s="432"/>
      <c r="G23" s="434"/>
      <c r="H23" s="434"/>
      <c r="I23" s="435" t="s">
        <v>168</v>
      </c>
      <c r="J23" s="436"/>
      <c r="K23" s="431" t="s">
        <v>166</v>
      </c>
      <c r="L23" s="432"/>
      <c r="M23" s="437" t="s">
        <v>166</v>
      </c>
      <c r="N23" s="436"/>
      <c r="O23" s="416"/>
      <c r="P23" s="429" t="s">
        <v>167</v>
      </c>
      <c r="Q23" s="418"/>
    </row>
    <row r="24" customFormat="false" ht="9.75" hidden="false" customHeight="true" outlineLevel="0" collapsed="false">
      <c r="A24" s="430" t="s">
        <v>215</v>
      </c>
      <c r="B24" s="420" t="str">
        <f aca="false">'12.lan'!D288</f>
        <v>M - Professional, technical and scientific services</v>
      </c>
      <c r="C24" s="431"/>
      <c r="D24" s="432"/>
      <c r="E24" s="433" t="s">
        <v>166</v>
      </c>
      <c r="F24" s="432"/>
      <c r="G24" s="434"/>
      <c r="H24" s="434"/>
      <c r="I24" s="435" t="s">
        <v>166</v>
      </c>
      <c r="J24" s="436"/>
      <c r="K24" s="431" t="s">
        <v>166</v>
      </c>
      <c r="L24" s="432"/>
      <c r="M24" s="437" t="s">
        <v>166</v>
      </c>
      <c r="N24" s="436"/>
      <c r="O24" s="416"/>
      <c r="P24" s="429" t="s">
        <v>166</v>
      </c>
      <c r="Q24" s="418"/>
    </row>
    <row r="25" customFormat="false" ht="9.75" hidden="false" customHeight="true" outlineLevel="0" collapsed="false">
      <c r="A25" s="430" t="s">
        <v>216</v>
      </c>
      <c r="B25" s="420" t="str">
        <f aca="false">'12.lan'!D289</f>
        <v>N - Administrative and support services</v>
      </c>
      <c r="C25" s="431"/>
      <c r="D25" s="432"/>
      <c r="E25" s="433" t="s">
        <v>166</v>
      </c>
      <c r="F25" s="432"/>
      <c r="G25" s="434"/>
      <c r="H25" s="434"/>
      <c r="I25" s="435" t="s">
        <v>166</v>
      </c>
      <c r="J25" s="436"/>
      <c r="K25" s="431" t="s">
        <v>166</v>
      </c>
      <c r="L25" s="432"/>
      <c r="M25" s="437" t="s">
        <v>166</v>
      </c>
      <c r="N25" s="436"/>
      <c r="O25" s="416"/>
      <c r="P25" s="429" t="s">
        <v>166</v>
      </c>
      <c r="Q25" s="418"/>
    </row>
    <row r="26" customFormat="false" ht="11.25" hidden="false" customHeight="true" outlineLevel="0" collapsed="false">
      <c r="A26" s="430" t="s">
        <v>217</v>
      </c>
      <c r="B26" s="420" t="str">
        <f aca="false">'12.lan'!D290</f>
        <v>O - Public administration; defence; social security</v>
      </c>
      <c r="C26" s="431"/>
      <c r="D26" s="432"/>
      <c r="E26" s="433" t="s">
        <v>166</v>
      </c>
      <c r="F26" s="432"/>
      <c r="G26" s="434"/>
      <c r="H26" s="434"/>
      <c r="I26" s="435" t="s">
        <v>166</v>
      </c>
      <c r="J26" s="436"/>
      <c r="K26" s="431" t="s">
        <v>166</v>
      </c>
      <c r="L26" s="432"/>
      <c r="M26" s="437" t="s">
        <v>166</v>
      </c>
      <c r="N26" s="436"/>
      <c r="O26" s="416"/>
      <c r="P26" s="429" t="s">
        <v>166</v>
      </c>
      <c r="Q26" s="418"/>
    </row>
    <row r="27" customFormat="false" ht="9.75" hidden="false" customHeight="true" outlineLevel="0" collapsed="false">
      <c r="A27" s="430" t="s">
        <v>218</v>
      </c>
      <c r="B27" s="420" t="str">
        <f aca="false">'12.lan'!D291</f>
        <v>P - Education</v>
      </c>
      <c r="C27" s="431"/>
      <c r="D27" s="432"/>
      <c r="E27" s="433" t="s">
        <v>166</v>
      </c>
      <c r="F27" s="432"/>
      <c r="G27" s="434"/>
      <c r="H27" s="434"/>
      <c r="I27" s="435" t="s">
        <v>166</v>
      </c>
      <c r="J27" s="436"/>
      <c r="K27" s="431" t="s">
        <v>166</v>
      </c>
      <c r="L27" s="432"/>
      <c r="M27" s="437" t="s">
        <v>166</v>
      </c>
      <c r="N27" s="436"/>
      <c r="O27" s="416"/>
      <c r="P27" s="429" t="s">
        <v>166</v>
      </c>
      <c r="Q27" s="418"/>
    </row>
    <row r="28" customFormat="false" ht="9.75" hidden="false" customHeight="true" outlineLevel="0" collapsed="false">
      <c r="A28" s="430" t="s">
        <v>219</v>
      </c>
      <c r="B28" s="420" t="str">
        <f aca="false">'12.lan'!D292</f>
        <v>Q - Health and social work</v>
      </c>
      <c r="C28" s="431"/>
      <c r="D28" s="432"/>
      <c r="E28" s="433" t="s">
        <v>166</v>
      </c>
      <c r="F28" s="432"/>
      <c r="G28" s="434"/>
      <c r="H28" s="434"/>
      <c r="I28" s="435" t="s">
        <v>166</v>
      </c>
      <c r="J28" s="436"/>
      <c r="K28" s="431" t="s">
        <v>166</v>
      </c>
      <c r="L28" s="432"/>
      <c r="M28" s="437" t="s">
        <v>166</v>
      </c>
      <c r="N28" s="436"/>
      <c r="O28" s="416"/>
      <c r="P28" s="429" t="s">
        <v>166</v>
      </c>
      <c r="Q28" s="418"/>
    </row>
    <row r="29" customFormat="false" ht="9.75" hidden="false" customHeight="true" outlineLevel="0" collapsed="false">
      <c r="A29" s="430" t="s">
        <v>220</v>
      </c>
      <c r="B29" s="420" t="str">
        <f aca="false">'12.lan'!D293</f>
        <v>R - Art, education and leisure</v>
      </c>
      <c r="C29" s="431"/>
      <c r="D29" s="432"/>
      <c r="E29" s="433" t="s">
        <v>166</v>
      </c>
      <c r="F29" s="432"/>
      <c r="G29" s="434"/>
      <c r="H29" s="434"/>
      <c r="I29" s="435" t="s">
        <v>166</v>
      </c>
      <c r="J29" s="436"/>
      <c r="K29" s="431" t="s">
        <v>166</v>
      </c>
      <c r="L29" s="432"/>
      <c r="M29" s="437" t="s">
        <v>166</v>
      </c>
      <c r="N29" s="436"/>
      <c r="O29" s="416"/>
      <c r="P29" s="429" t="s">
        <v>166</v>
      </c>
      <c r="Q29" s="418"/>
    </row>
    <row r="30" customFormat="false" ht="9.75" hidden="false" customHeight="true" outlineLevel="0" collapsed="false">
      <c r="A30" s="430" t="s">
        <v>221</v>
      </c>
      <c r="B30" s="420" t="str">
        <f aca="false">'12.lan'!D294</f>
        <v>S - Other services</v>
      </c>
      <c r="C30" s="431"/>
      <c r="D30" s="432"/>
      <c r="E30" s="433" t="s">
        <v>166</v>
      </c>
      <c r="F30" s="432"/>
      <c r="G30" s="434"/>
      <c r="H30" s="434"/>
      <c r="I30" s="435" t="s">
        <v>166</v>
      </c>
      <c r="J30" s="436"/>
      <c r="K30" s="431" t="s">
        <v>166</v>
      </c>
      <c r="L30" s="432"/>
      <c r="M30" s="437" t="s">
        <v>166</v>
      </c>
      <c r="N30" s="436"/>
      <c r="O30" s="416"/>
      <c r="P30" s="429" t="s">
        <v>166</v>
      </c>
      <c r="Q30" s="418"/>
    </row>
    <row r="31" customFormat="false" ht="11.25" hidden="false" customHeight="true" outlineLevel="0" collapsed="false">
      <c r="A31" s="430" t="s">
        <v>222</v>
      </c>
      <c r="B31" s="420" t="str">
        <f aca="false">'12.lan'!D295</f>
        <v>Please enter</v>
      </c>
      <c r="C31" s="431"/>
      <c r="D31" s="432"/>
      <c r="E31" s="433" t="s">
        <v>166</v>
      </c>
      <c r="F31" s="432"/>
      <c r="G31" s="434"/>
      <c r="H31" s="434"/>
      <c r="I31" s="435" t="s">
        <v>166</v>
      </c>
      <c r="J31" s="436"/>
      <c r="K31" s="431" t="s">
        <v>166</v>
      </c>
      <c r="L31" s="432"/>
      <c r="M31" s="437" t="s">
        <v>166</v>
      </c>
      <c r="N31" s="436"/>
      <c r="O31" s="449"/>
      <c r="P31" s="450" t="s">
        <v>166</v>
      </c>
      <c r="Q31" s="451"/>
    </row>
    <row r="32" customFormat="false" ht="12" hidden="false" customHeight="true" outlineLevel="0" collapsed="false">
      <c r="A32" s="452" t="s">
        <v>223</v>
      </c>
      <c r="B32" s="420" t="str">
        <f aca="false">'12.lan'!D296</f>
        <v>U - Extraterritorial organisations and bodies</v>
      </c>
      <c r="C32" s="431"/>
      <c r="D32" s="432"/>
      <c r="E32" s="433" t="s">
        <v>166</v>
      </c>
      <c r="F32" s="432"/>
      <c r="G32" s="434"/>
      <c r="H32" s="434"/>
      <c r="I32" s="435" t="s">
        <v>166</v>
      </c>
      <c r="J32" s="436"/>
      <c r="K32" s="431" t="s">
        <v>166</v>
      </c>
      <c r="L32" s="432"/>
      <c r="M32" s="437" t="s">
        <v>166</v>
      </c>
      <c r="N32" s="436"/>
      <c r="O32" s="449"/>
      <c r="P32" s="450" t="s">
        <v>166</v>
      </c>
      <c r="Q32" s="451"/>
    </row>
    <row r="34" customFormat="false" ht="9.75" hidden="false" customHeight="true" outlineLevel="0" collapsed="false">
      <c r="A34" s="453" t="str">
        <f aca="false">'9. Weighting'!H35</f>
        <v>Cb</v>
      </c>
      <c r="B34" s="454" t="s">
        <v>224</v>
      </c>
      <c r="C34" s="455" t="n">
        <f aca="false">'9. Weighting'!I35</f>
        <v>0.02</v>
      </c>
      <c r="D34" s="454"/>
      <c r="E34" s="454"/>
      <c r="F34" s="454"/>
      <c r="G34" s="454"/>
      <c r="H34" s="454"/>
      <c r="I34" s="456" t="str">
        <f aca="false">IFERROR(VLOOKUP(A34,'10. Industry'!$A$4:$O$32,9,FALSE()),"mittel")</f>
        <v>mittel</v>
      </c>
      <c r="J34" s="457" t="n">
        <f aca="false">VLOOKUP(I34,'9. Weighting'!$F$49:$H$53,3,FALSE())</f>
        <v>1</v>
      </c>
      <c r="K34" s="456" t="str">
        <f aca="false">IFERROR(VLOOKUP(A34,'10. Industry'!$A$4:$O$32,11,FALSE()),"mittel")</f>
        <v>hoch</v>
      </c>
      <c r="L34" s="458" t="n">
        <f aca="false">VLOOKUP(K34,'9. Weighting'!$F$49:$H$53,3,FALSE())</f>
        <v>1.5</v>
      </c>
    </row>
    <row r="35" customFormat="false" ht="9.75" hidden="false" customHeight="true" outlineLevel="0" collapsed="false">
      <c r="A35" s="459" t="str">
        <f aca="false">'9. Weighting'!H36</f>
        <v>Pl</v>
      </c>
      <c r="B35" s="460" t="s">
        <v>225</v>
      </c>
      <c r="C35" s="461" t="n">
        <f aca="false">'9. Weighting'!I36</f>
        <v>0</v>
      </c>
      <c r="D35" s="460"/>
      <c r="E35" s="460"/>
      <c r="F35" s="460"/>
      <c r="G35" s="460"/>
      <c r="H35" s="460"/>
      <c r="I35" s="462" t="str">
        <f aca="false">IFERROR(VLOOKUP(A35,'10. Industry'!$A$4:$O$32,9,FALSE()),"mittel")</f>
        <v>mittel</v>
      </c>
      <c r="J35" s="463" t="n">
        <f aca="false">VLOOKUP(I35,'9. Weighting'!$F$49:$H$53,3,FALSE())</f>
        <v>1</v>
      </c>
      <c r="K35" s="462" t="str">
        <f aca="false">IFERROR(VLOOKUP(A35,'10. Industry'!$A$4:$O$32,11,FALSE()),"mittel")</f>
        <v>mittel</v>
      </c>
      <c r="L35" s="464" t="n">
        <f aca="false">VLOOKUP(K35,'9. Weighting'!$F$49:$H$53,3,FALSE())</f>
        <v>1</v>
      </c>
    </row>
    <row r="36" customFormat="false" ht="9.75" hidden="false" customHeight="true" outlineLevel="0" collapsed="false">
      <c r="A36" s="459" t="str">
        <f aca="false">'9. Weighting'!H37</f>
        <v>Pl</v>
      </c>
      <c r="B36" s="460" t="s">
        <v>226</v>
      </c>
      <c r="C36" s="461" t="n">
        <f aca="false">'9. Weighting'!I37</f>
        <v>0</v>
      </c>
      <c r="D36" s="460"/>
      <c r="E36" s="460"/>
      <c r="F36" s="460"/>
      <c r="G36" s="460"/>
      <c r="H36" s="460"/>
      <c r="I36" s="462" t="str">
        <f aca="false">IFERROR(VLOOKUP(A36,'10. Industry'!$A$4:$O$32,9,FALSE()),"mittel")</f>
        <v>mittel</v>
      </c>
      <c r="J36" s="463" t="n">
        <f aca="false">VLOOKUP(I36,'9. Weighting'!$F$49:$H$53,3,FALSE())</f>
        <v>1</v>
      </c>
      <c r="K36" s="462" t="str">
        <f aca="false">IFERROR(VLOOKUP(A36,'10. Industry'!$A$4:$O$32,11,FALSE()),"mittel")</f>
        <v>mittel</v>
      </c>
      <c r="L36" s="464" t="n">
        <f aca="false">VLOOKUP(K36,'9. Weighting'!$F$49:$H$53,3,FALSE())</f>
        <v>1</v>
      </c>
    </row>
    <row r="37" customFormat="false" ht="9.75" hidden="false" customHeight="true" outlineLevel="0" collapsed="false">
      <c r="A37" s="459"/>
      <c r="B37" s="460"/>
      <c r="C37" s="465" t="n">
        <f aca="false">1-SUM(C34:C36)</f>
        <v>0.98</v>
      </c>
      <c r="D37" s="460"/>
      <c r="E37" s="460"/>
      <c r="F37" s="460"/>
      <c r="G37" s="460"/>
      <c r="H37" s="460"/>
      <c r="I37" s="462" t="s">
        <v>166</v>
      </c>
      <c r="J37" s="463" t="n">
        <f aca="false">VLOOKUP(I37,'9. Weighting'!$F$49:$H$53,3,FALSE())</f>
        <v>1</v>
      </c>
      <c r="K37" s="462" t="s">
        <v>166</v>
      </c>
      <c r="L37" s="464" t="n">
        <f aca="false">VLOOKUP(K37,'9. Weighting'!$F$49:$H$53,3,FALSE())</f>
        <v>1</v>
      </c>
    </row>
    <row r="38" customFormat="false" ht="9.75" hidden="false" customHeight="true" outlineLevel="0" collapsed="false">
      <c r="A38" s="459"/>
      <c r="B38" s="460"/>
      <c r="C38" s="465" t="n">
        <f aca="false">SUM(C34:C37)</f>
        <v>1</v>
      </c>
      <c r="D38" s="460"/>
      <c r="E38" s="460"/>
      <c r="F38" s="460"/>
      <c r="G38" s="460"/>
      <c r="H38" s="460"/>
      <c r="I38" s="462"/>
      <c r="J38" s="463" t="n">
        <f aca="false">C34*J34+C35*J35+C36*J36+C37*J37</f>
        <v>1</v>
      </c>
      <c r="K38" s="462"/>
      <c r="L38" s="464" t="n">
        <f aca="false">C34*L34+C35*L35+C36*L36+C37*L37</f>
        <v>1.01</v>
      </c>
    </row>
    <row r="39" customFormat="false" ht="9.75" hidden="false" customHeight="true" outlineLevel="0" collapsed="false">
      <c r="A39" s="466"/>
      <c r="B39" s="467" t="s">
        <v>227</v>
      </c>
      <c r="C39" s="468"/>
      <c r="D39" s="469"/>
      <c r="E39" s="469"/>
      <c r="F39" s="469"/>
      <c r="G39" s="469"/>
      <c r="H39" s="469"/>
      <c r="I39" s="468"/>
      <c r="J39" s="469" t="str">
        <f aca="false">IF(J38&lt;0.75,"niedrig",IF(J38&lt;1.25,"mittel",IF(J38&gt;1.75,"sehr hoch","hoch")))</f>
        <v>mittel</v>
      </c>
      <c r="K39" s="468"/>
      <c r="L39" s="470"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360"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1" width="18"/>
    <col collapsed="false" customWidth="true" hidden="false" outlineLevel="0" max="3" min="2" style="472" width="16.29"/>
    <col collapsed="false" customWidth="true" hidden="false" outlineLevel="0" max="4" min="4" style="472" width="19.31"/>
    <col collapsed="false" customWidth="true" hidden="false" outlineLevel="0" max="5" min="5" style="472" width="22.28"/>
    <col collapsed="false" customWidth="true" hidden="false" outlineLevel="0" max="6" min="6" style="472" width="20.3"/>
    <col collapsed="false" customWidth="false" hidden="false" outlineLevel="0" max="7" min="7" style="472" width="10.29"/>
    <col collapsed="false" customWidth="false" hidden="false" outlineLevel="0" max="9" min="8" style="471" width="10.29"/>
    <col collapsed="false" customWidth="true" hidden="false" outlineLevel="0" max="10" min="10" style="471" width="10.85"/>
    <col collapsed="false" customWidth="false" hidden="false" outlineLevel="0" max="1024" min="11" style="471" width="10.29"/>
  </cols>
  <sheetData>
    <row r="1" customFormat="false" ht="27" hidden="false" customHeight="true" outlineLevel="0" collapsed="false">
      <c r="A1" s="473" t="s">
        <v>228</v>
      </c>
      <c r="B1" s="473"/>
      <c r="C1" s="473"/>
      <c r="D1" s="473"/>
      <c r="E1" s="473"/>
      <c r="F1" s="473"/>
      <c r="G1" s="473"/>
    </row>
    <row r="2" customFormat="false" ht="34.5" hidden="false" customHeight="true" outlineLevel="0" collapsed="false">
      <c r="A2" s="474"/>
      <c r="B2" s="475" t="s">
        <v>229</v>
      </c>
      <c r="C2" s="476" t="s">
        <v>230</v>
      </c>
      <c r="D2" s="476" t="s">
        <v>231</v>
      </c>
      <c r="E2" s="475" t="s">
        <v>232</v>
      </c>
      <c r="F2" s="475" t="s">
        <v>233</v>
      </c>
      <c r="G2" s="475" t="s">
        <v>234</v>
      </c>
      <c r="H2" s="477" t="s">
        <v>235</v>
      </c>
      <c r="I2" s="478" t="s">
        <v>236</v>
      </c>
      <c r="J2" s="479" t="s">
        <v>126</v>
      </c>
      <c r="K2" s="480" t="s">
        <v>237</v>
      </c>
      <c r="L2" s="481" t="s">
        <v>238</v>
      </c>
      <c r="M2" s="481"/>
      <c r="N2" s="481"/>
      <c r="O2" s="482" t="s">
        <v>239</v>
      </c>
      <c r="P2" s="482"/>
      <c r="Q2" s="482"/>
    </row>
    <row r="3" customFormat="false" ht="9.75" hidden="false" customHeight="true" outlineLevel="0" collapsed="false">
      <c r="A3" s="474" t="s">
        <v>240</v>
      </c>
      <c r="B3" s="483" t="n">
        <f aca="false">'9. Weighting'!I10</f>
        <v>10000</v>
      </c>
      <c r="C3" s="484" t="n">
        <f aca="false">'9. Weighting'!I13</f>
        <v>500</v>
      </c>
      <c r="D3" s="485" t="str">
        <f aca="false">'9. Weighting'!H13</f>
        <v>ALB Albania</v>
      </c>
      <c r="E3" s="486" t="n">
        <f aca="false">IFERROR(VLOOKUP(D3,$A$22:$G$400,3,FALSE()),$C$243)</f>
        <v>2.95661266669197</v>
      </c>
      <c r="F3" s="487" t="n">
        <f aca="false">IFERROR(C3*E3,"0")</f>
        <v>1478.30633334598</v>
      </c>
      <c r="G3" s="488" t="n">
        <f aca="false">SUM(F3:F8)</f>
        <v>11751.9117622856</v>
      </c>
      <c r="H3" s="489" t="n">
        <f aca="false">IFERROR(F3/$G$3,"-")</f>
        <v>0.12579283807169</v>
      </c>
      <c r="I3" s="471" t="n">
        <f aca="false">IFERROR(VLOOKUP(D3,$A$21:$I$134,6,FALSE()),2.99)</f>
        <v>2</v>
      </c>
      <c r="J3" s="490" t="str">
        <f aca="false">'9. Weighting'!E13</f>
        <v>Cc</v>
      </c>
      <c r="K3" s="491" t="str">
        <f aca="false">'9. Weighting'!G13</f>
        <v>Please enter</v>
      </c>
      <c r="L3" s="491" t="str">
        <f aca="false">IFERROR(VLOOKUP(J3,'10. Industry'!$A$4:$P$32,16,FALSE()),'3. Calc'!C104)</f>
        <v>sehr hoch</v>
      </c>
      <c r="M3" s="491" t="n">
        <f aca="false">VLOOKUP(L3,'9. Weighting'!$F$49:$H$53,3,FALSE())</f>
        <v>2</v>
      </c>
      <c r="N3" s="492" t="n">
        <f aca="false">M3*H3</f>
        <v>0.25158567614338</v>
      </c>
      <c r="O3" s="491" t="str">
        <f aca="false">IFERROR(VLOOKUP(J3,'10. Industry'!$A$4:$N$32,5,FALSE()),'3. Calc'!C104)</f>
        <v>hoch</v>
      </c>
      <c r="P3" s="491" t="n">
        <f aca="false">VLOOKUP(O3,'9. Weighting'!$F$49:$H$53,3,FALSE())</f>
        <v>1.5</v>
      </c>
      <c r="Q3" s="493" t="n">
        <f aca="false">P3*H3</f>
        <v>0.188689257107535</v>
      </c>
    </row>
    <row r="4" customFormat="false" ht="9.75" hidden="false" customHeight="true" outlineLevel="0" collapsed="false">
      <c r="A4" s="474" t="s">
        <v>241</v>
      </c>
      <c r="B4" s="483"/>
      <c r="C4" s="484" t="n">
        <f aca="false">'9. Weighting'!I14</f>
        <v>1234</v>
      </c>
      <c r="D4" s="485" t="str">
        <f aca="false">'9. Weighting'!H14</f>
        <v>ATG Antigua and Barbuda</v>
      </c>
      <c r="E4" s="486" t="n">
        <f aca="false">IFERROR(VLOOKUP(D4,$A$22:$G$400,3,FALSE()),$C$243)</f>
        <v>1.77403645769243</v>
      </c>
      <c r="F4" s="487" t="n">
        <f aca="false">IFERROR(C4*E4,"0")</f>
        <v>2189.16098879246</v>
      </c>
      <c r="G4" s="488"/>
      <c r="H4" s="489" t="n">
        <f aca="false">IFERROR(F4/$G$3,"-")</f>
        <v>0.186281264961327</v>
      </c>
      <c r="I4" s="471" t="n">
        <f aca="false">IFERROR(VLOOKUP(D4,$A$21:$I$134,6,FALSE()),2.99)</f>
        <v>3.42105263157895</v>
      </c>
      <c r="J4" s="490" t="str">
        <f aca="false">'9. Weighting'!E14</f>
        <v>D</v>
      </c>
      <c r="K4" s="491" t="str">
        <f aca="false">'9. Weighting'!G14</f>
        <v>Please enter</v>
      </c>
      <c r="L4" s="491" t="str">
        <f aca="false">IFERROR(VLOOKUP(J4,'10. Industry'!$A$4:$P$32,16,FALSE()),'3. Calc'!C104)</f>
        <v>sehr hoch</v>
      </c>
      <c r="M4" s="491" t="n">
        <f aca="false">VLOOKUP(L4,'9. Weighting'!$F$49:$H$53,3,FALSE())</f>
        <v>2</v>
      </c>
      <c r="N4" s="492" t="n">
        <f aca="false">M4*H4</f>
        <v>0.372562529922654</v>
      </c>
      <c r="O4" s="491" t="str">
        <f aca="false">IFERROR(VLOOKUP(J4,'10. Industry'!$A$4:$N$32,5,FALSE()),'3. Calc'!C104)</f>
        <v>mittel</v>
      </c>
      <c r="P4" s="491" t="n">
        <f aca="false">VLOOKUP(O4,'9. Weighting'!$F$49:$H$53,3,FALSE())</f>
        <v>1</v>
      </c>
      <c r="Q4" s="493" t="n">
        <f aca="false">P4*H4</f>
        <v>0.186281264961327</v>
      </c>
    </row>
    <row r="5" customFormat="false" ht="9.75" hidden="false" customHeight="true" outlineLevel="0" collapsed="false">
      <c r="A5" s="474" t="s">
        <v>242</v>
      </c>
      <c r="B5" s="483"/>
      <c r="C5" s="484" t="n">
        <f aca="false">'9. Weighting'!I15</f>
        <v>4322</v>
      </c>
      <c r="D5" s="485" t="str">
        <f aca="false">'9. Weighting'!H15</f>
        <v>Please choose</v>
      </c>
      <c r="E5" s="486" t="n">
        <f aca="false">IFERROR(VLOOKUP(D5,$A$22:$G$400,3,FALSE()),$C$243)</f>
        <v>0.978035862587365</v>
      </c>
      <c r="F5" s="487" t="n">
        <f aca="false">IFERROR(C5*E5,"0")</f>
        <v>4227.07099810259</v>
      </c>
      <c r="G5" s="488"/>
      <c r="H5" s="489" t="n">
        <f aca="false">IFERROR(F5/$G$3,"-")</f>
        <v>0.359692200180414</v>
      </c>
      <c r="I5" s="471" t="n">
        <f aca="false">IFERROR(VLOOKUP(D5,$A$21:$I$134,6,FALSE()),2.99)</f>
        <v>2.99</v>
      </c>
      <c r="J5" s="490" t="str">
        <f aca="false">'9. Weighting'!E15</f>
        <v>Pl</v>
      </c>
      <c r="K5" s="491" t="str">
        <f aca="false">'9. Weighting'!G15</f>
        <v>Please enter</v>
      </c>
      <c r="L5" s="491" t="n">
        <f aca="false">IFERROR(VLOOKUP(J5,'10. Industry'!$A$4:$P$32,16,FALSE()),'3. Calc'!C104)</f>
        <v>1</v>
      </c>
      <c r="M5" s="491" t="e">
        <f aca="false">VLOOKUP(L5,'9. Weighting'!$F$49:$H$53,3,FALSE())</f>
        <v>#N/A</v>
      </c>
      <c r="N5" s="492" t="e">
        <f aca="false">M5*H5</f>
        <v>#N/A</v>
      </c>
      <c r="O5" s="491" t="n">
        <f aca="false">IFERROR(VLOOKUP(J5,'10. Industry'!$A$4:$N$32,5,FALSE()),'3. Calc'!C104)</f>
        <v>1</v>
      </c>
      <c r="P5" s="491" t="e">
        <f aca="false">VLOOKUP(O5,'9. Weighting'!$F$49:$H$53,3,FALSE())</f>
        <v>#N/A</v>
      </c>
      <c r="Q5" s="493" t="e">
        <f aca="false">P5*H5</f>
        <v>#N/A</v>
      </c>
    </row>
    <row r="6" customFormat="false" ht="9.75" hidden="false" customHeight="true" outlineLevel="0" collapsed="false">
      <c r="A6" s="474" t="s">
        <v>243</v>
      </c>
      <c r="B6" s="483"/>
      <c r="C6" s="484" t="n">
        <f aca="false">'9. Weighting'!I16</f>
        <v>0</v>
      </c>
      <c r="D6" s="485" t="str">
        <f aca="false">'9. Weighting'!H16</f>
        <v>Please choose</v>
      </c>
      <c r="E6" s="486" t="n">
        <f aca="false">IFERROR(VLOOKUP(D6,$A$22:$G$400,3,FALSE()),$C$243)</f>
        <v>0.978035862587365</v>
      </c>
      <c r="F6" s="487" t="n">
        <f aca="false">IFERROR(C6*E6,"0")</f>
        <v>0</v>
      </c>
      <c r="G6" s="488"/>
      <c r="H6" s="489" t="n">
        <f aca="false">IFERROR(F6/$G$3,"-")</f>
        <v>0</v>
      </c>
      <c r="I6" s="471" t="n">
        <f aca="false">IFERROR(VLOOKUP(D6,$A$21:$I$134,6,FALSE()),2.99)</f>
        <v>2.99</v>
      </c>
      <c r="J6" s="490" t="str">
        <f aca="false">'9. Weighting'!E16</f>
        <v>Pl</v>
      </c>
      <c r="K6" s="491" t="str">
        <f aca="false">'9. Weighting'!G16</f>
        <v>Please enter</v>
      </c>
      <c r="L6" s="491" t="n">
        <f aca="false">IFERROR(VLOOKUP(J6,'10. Industry'!$A$4:$P$32,16,FALSE()),'3. Calc'!C104)</f>
        <v>1</v>
      </c>
      <c r="M6" s="491" t="e">
        <f aca="false">VLOOKUP(L6,'9. Weighting'!$F$49:$H$53,3,FALSE())</f>
        <v>#N/A</v>
      </c>
      <c r="N6" s="492" t="e">
        <f aca="false">M6*H6</f>
        <v>#N/A</v>
      </c>
      <c r="O6" s="491" t="n">
        <f aca="false">IFERROR(VLOOKUP(J6,'10. Industry'!$A$4:$N$32,5,FALSE()),'3. Calc'!C104)</f>
        <v>1</v>
      </c>
      <c r="P6" s="491" t="e">
        <f aca="false">VLOOKUP(O6,'9. Weighting'!$F$49:$H$53,3,FALSE())</f>
        <v>#N/A</v>
      </c>
      <c r="Q6" s="493" t="e">
        <f aca="false">P6*H6</f>
        <v>#N/A</v>
      </c>
    </row>
    <row r="7" customFormat="false" ht="12" hidden="false" customHeight="true" outlineLevel="0" collapsed="false">
      <c r="A7" s="474" t="s">
        <v>244</v>
      </c>
      <c r="B7" s="483"/>
      <c r="C7" s="484" t="n">
        <f aca="false">'9. Weighting'!I17</f>
        <v>0</v>
      </c>
      <c r="D7" s="485" t="str">
        <f aca="false">'9. Weighting'!H17</f>
        <v>Please choose</v>
      </c>
      <c r="E7" s="486" t="n">
        <f aca="false">IFERROR(VLOOKUP(D7,$A$22:$G$400,3,FALSE()),$C$243)</f>
        <v>0.978035862587365</v>
      </c>
      <c r="F7" s="487" t="n">
        <f aca="false">IFERROR(C7*E7,"0")</f>
        <v>0</v>
      </c>
      <c r="G7" s="488"/>
      <c r="H7" s="489" t="n">
        <f aca="false">IFERROR(F7/$G$3,"-")</f>
        <v>0</v>
      </c>
      <c r="I7" s="471" t="n">
        <f aca="false">IFERROR(VLOOKUP(D7,$A$21:$I$134,6,FALSE()),2.99)</f>
        <v>2.99</v>
      </c>
      <c r="J7" s="490" t="str">
        <f aca="false">'9. Weighting'!E17</f>
        <v>Pl</v>
      </c>
      <c r="K7" s="491" t="str">
        <f aca="false">'9. Weighting'!G17</f>
        <v>Please enter</v>
      </c>
      <c r="L7" s="491" t="n">
        <f aca="false">IFERROR(VLOOKUP(J7,'10. Industry'!$A$4:$P$32,16,FALSE()),'3. Calc'!C104)</f>
        <v>1</v>
      </c>
      <c r="M7" s="491" t="e">
        <f aca="false">VLOOKUP(L7,'9. Weighting'!$F$49:$H$53,3,FALSE())</f>
        <v>#N/A</v>
      </c>
      <c r="N7" s="492" t="e">
        <f aca="false">M7*H7</f>
        <v>#N/A</v>
      </c>
      <c r="O7" s="491" t="n">
        <f aca="false">IFERROR(VLOOKUP(J7,'10. Industry'!$A$4:$N$32,5,FALSE()),'3. Calc'!C104)</f>
        <v>1</v>
      </c>
      <c r="P7" s="491" t="e">
        <f aca="false">VLOOKUP(O7,'9. Weighting'!$F$49:$H$53,3,FALSE())</f>
        <v>#N/A</v>
      </c>
      <c r="Q7" s="493" t="e">
        <f aca="false">P7*H7</f>
        <v>#N/A</v>
      </c>
    </row>
    <row r="8" customFormat="false" ht="17.1" hidden="false" customHeight="true" outlineLevel="0" collapsed="false">
      <c r="A8" s="494" t="s">
        <v>245</v>
      </c>
      <c r="B8" s="483"/>
      <c r="C8" s="495" t="n">
        <f aca="false">'9. Weighting'!I18</f>
        <v>3944</v>
      </c>
      <c r="D8" s="496" t="str">
        <f aca="false">'9. Weighting'!H18</f>
        <v>Please choose</v>
      </c>
      <c r="E8" s="486" t="n">
        <f aca="false">IFERROR(VLOOKUP(D8,$A$22:$G$400,3,FALSE()),$C$243)</f>
        <v>0.978035862587365</v>
      </c>
      <c r="F8" s="488" t="n">
        <f aca="false">IFERROR(C8*E8,"0")</f>
        <v>3857.37344204457</v>
      </c>
      <c r="G8" s="488"/>
      <c r="H8" s="489" t="n">
        <f aca="false">IFERROR(F8/$G$3,"-")</f>
        <v>0.328233696786569</v>
      </c>
      <c r="I8" s="471" t="n">
        <f aca="false">IFERROR(VLOOKUP(D8,$A$21:$I$134,6,FALSE()),2.99)</f>
        <v>2.99</v>
      </c>
      <c r="J8" s="497" t="s">
        <v>246</v>
      </c>
      <c r="K8" s="497"/>
      <c r="L8" s="497"/>
      <c r="M8" s="497"/>
      <c r="N8" s="498" t="n">
        <f aca="false">IFERROR((SUM(N3:N7)*1)/SUM(H3:H7),1)</f>
        <v>1</v>
      </c>
      <c r="O8" s="499"/>
      <c r="P8" s="499"/>
      <c r="Q8" s="498" t="n">
        <f aca="false">IFERROR((SUM(Q3:Q7)*1)/SUM(H3:H7),1)</f>
        <v>1</v>
      </c>
    </row>
    <row r="9" customFormat="false" ht="11.1" hidden="false" customHeight="true" outlineLevel="0" collapsed="false">
      <c r="A9" s="500"/>
      <c r="B9" s="501"/>
      <c r="C9" s="501"/>
      <c r="D9" s="501"/>
      <c r="E9" s="502"/>
      <c r="F9" s="501"/>
      <c r="G9" s="501"/>
      <c r="H9" s="489"/>
      <c r="I9" s="503" t="n">
        <f aca="false">IFERROR(I3*H3+I4*H4+I5*H5+I6*H6+I7*H7+I8*H8,I21)</f>
        <v>2.94576211978446</v>
      </c>
    </row>
    <row r="10" customFormat="false" ht="11.1" hidden="false" customHeight="true" outlineLevel="0" collapsed="false">
      <c r="A10" s="504" t="s">
        <v>247</v>
      </c>
      <c r="B10" s="505" t="n">
        <f aca="false">'9. Weighting'!I25</f>
        <v>33333</v>
      </c>
      <c r="C10" s="506" t="n">
        <f aca="false">'2. Company Facts'!D30</f>
        <v>0.01</v>
      </c>
      <c r="D10" s="507" t="str">
        <f aca="false">'2. Company Facts'!B30</f>
        <v>ALB Albania</v>
      </c>
      <c r="E10" s="486" t="n">
        <f aca="false">IFERROR(VLOOKUP(D10,$A$22:$G$400,3,FALSE()),$C$243)</f>
        <v>2.95661266669197</v>
      </c>
      <c r="F10" s="508" t="n">
        <f aca="false">C10*E10*B10</f>
        <v>985.527700188434</v>
      </c>
      <c r="G10" s="508" t="n">
        <f aca="false">F10+F11+F12+F13</f>
        <v>33534.737171046</v>
      </c>
      <c r="H10" s="509" t="n">
        <f aca="false">SUM(H3:H8)</f>
        <v>1</v>
      </c>
      <c r="I10" s="471" t="n">
        <f aca="false">IFERROR(VLOOKUP(D10,$A$21:$I$134,6,FALSE()),I28)</f>
        <v>2</v>
      </c>
    </row>
    <row r="11" customFormat="false" ht="9.75" hidden="false" customHeight="true" outlineLevel="0" collapsed="false">
      <c r="A11" s="510"/>
      <c r="B11" s="511"/>
      <c r="C11" s="506" t="n">
        <f aca="false">'2. Company Facts'!D31</f>
        <v>0</v>
      </c>
      <c r="D11" s="507" t="str">
        <f aca="false">'2. Company Facts'!B31</f>
        <v>Please choose</v>
      </c>
      <c r="E11" s="486" t="n">
        <f aca="false">IFERROR(VLOOKUP(D11,$A$22:$G$400,3,FALSE()),$C$243)</f>
        <v>0.978035862587365</v>
      </c>
      <c r="F11" s="508" t="n">
        <f aca="false">C11*E11*B10</f>
        <v>0</v>
      </c>
      <c r="G11" s="501"/>
      <c r="H11" s="509"/>
      <c r="I11" s="471" t="n">
        <f aca="false">IFERROR(VLOOKUP(D11,$A$21:$I$134,6,FALSE()),I29)</f>
        <v>0</v>
      </c>
    </row>
    <row r="12" customFormat="false" ht="9.75" hidden="false" customHeight="true" outlineLevel="0" collapsed="false">
      <c r="A12" s="510"/>
      <c r="B12" s="511"/>
      <c r="C12" s="506" t="n">
        <f aca="false">'2. Company Facts'!D32</f>
        <v>0.03</v>
      </c>
      <c r="D12" s="507" t="str">
        <f aca="false">'2. Company Facts'!B32</f>
        <v>AUT Austria</v>
      </c>
      <c r="E12" s="486" t="n">
        <f aca="false">IFERROR(VLOOKUP(D12,$A$22:$G$400,3,FALSE()),$C$243)</f>
        <v>1.2523873634115</v>
      </c>
      <c r="F12" s="508" t="n">
        <f aca="false">C12*E12*B10</f>
        <v>1252.37483953787</v>
      </c>
      <c r="G12" s="501"/>
      <c r="H12" s="509"/>
      <c r="I12" s="471" t="n">
        <f aca="false">IFERROR(VLOOKUP(D12,$A$21:$I$134,6,FALSE()),I30)</f>
        <v>1</v>
      </c>
    </row>
    <row r="13" customFormat="false" ht="9.75" hidden="false" customHeight="true" outlineLevel="0" collapsed="false">
      <c r="A13" s="510"/>
      <c r="B13" s="511"/>
      <c r="C13" s="512" t="n">
        <f aca="false">1-C10-C11-C12</f>
        <v>0.96</v>
      </c>
      <c r="D13" s="511" t="str">
        <f aca="false">A21</f>
        <v>Country Code</v>
      </c>
      <c r="E13" s="486" t="n">
        <f aca="false">IFERROR(VLOOKUP(D13,$A$22:$G$400,3,FALSE()),$C$243)</f>
        <v>0.978035862587365</v>
      </c>
      <c r="F13" s="508" t="n">
        <f aca="false">C13*E13*B10</f>
        <v>31296.8346313197</v>
      </c>
      <c r="G13" s="501"/>
      <c r="H13" s="509"/>
      <c r="I13" s="471" t="n">
        <f aca="false">IFERROR(VLOOKUP(D13,$A$21:$I$134,9,FALSE()),"0")</f>
        <v>0</v>
      </c>
    </row>
    <row r="14" customFormat="false" ht="9.75" hidden="false" customHeight="true" outlineLevel="0" collapsed="false">
      <c r="A14" s="471" t="s">
        <v>248</v>
      </c>
      <c r="I14" s="513" t="n">
        <f aca="false">I10*C10+I11*C11+I12*C12+I13*C13</f>
        <v>0.05</v>
      </c>
    </row>
    <row r="17" customFormat="false" ht="25.5" hidden="false" customHeight="true" outlineLevel="0" collapsed="false">
      <c r="A17" s="514" t="s">
        <v>249</v>
      </c>
      <c r="B17" s="514"/>
      <c r="C17" s="514"/>
      <c r="D17" s="514"/>
      <c r="E17" s="514"/>
      <c r="F17" s="514"/>
      <c r="G17" s="514"/>
      <c r="H17" s="514"/>
    </row>
    <row r="18" customFormat="false" ht="9.75" hidden="false" customHeight="true" outlineLevel="0" collapsed="false">
      <c r="A18" s="515" t="s">
        <v>250</v>
      </c>
      <c r="B18" s="515" t="s">
        <v>251</v>
      </c>
      <c r="C18" s="515"/>
      <c r="D18" s="515"/>
      <c r="E18" s="515"/>
      <c r="F18" s="515"/>
      <c r="G18" s="515"/>
      <c r="H18" s="516"/>
    </row>
    <row r="19" customFormat="false" ht="9.75" hidden="false" customHeight="true" outlineLevel="0" collapsed="false">
      <c r="A19" s="515" t="s">
        <v>252</v>
      </c>
      <c r="B19" s="517" t="s">
        <v>253</v>
      </c>
      <c r="C19" s="517"/>
      <c r="D19" s="515"/>
      <c r="E19" s="518" t="s">
        <v>254</v>
      </c>
      <c r="F19" s="519"/>
      <c r="G19" s="515"/>
      <c r="H19" s="516" t="s">
        <v>255</v>
      </c>
    </row>
    <row r="20" customFormat="false" ht="9.75" hidden="false" customHeight="true" outlineLevel="0" collapsed="false">
      <c r="A20" s="515"/>
      <c r="B20" s="515"/>
      <c r="C20" s="515"/>
      <c r="D20" s="515"/>
      <c r="E20" s="515"/>
      <c r="F20" s="515"/>
      <c r="G20" s="515"/>
      <c r="H20" s="516"/>
    </row>
    <row r="21" customFormat="false" ht="9.75" hidden="false" customHeight="true" outlineLevel="0" collapsed="false">
      <c r="A21" s="520" t="s">
        <v>256</v>
      </c>
      <c r="B21" s="520" t="s">
        <v>257</v>
      </c>
      <c r="C21" s="521" t="s">
        <v>258</v>
      </c>
      <c r="D21" s="521"/>
      <c r="E21" s="520" t="s">
        <v>128</v>
      </c>
      <c r="F21" s="521" t="s">
        <v>259</v>
      </c>
      <c r="G21" s="522"/>
      <c r="H21" s="523"/>
      <c r="I21" s="524"/>
      <c r="J21" s="524" t="s">
        <v>260</v>
      </c>
    </row>
    <row r="22" customFormat="false" ht="9.75" hidden="false" customHeight="true" outlineLevel="0" collapsed="false">
      <c r="A22" s="522" t="str">
        <f aca="false">'12.lan'!D339</f>
        <v>ABW Aruba</v>
      </c>
      <c r="B22" s="522" t="s">
        <v>261</v>
      </c>
      <c r="C22" s="525" t="n">
        <f aca="false">VLOOKUP(B22,'12.ppp data'!$C$3:$J$273,7,FALSE())</f>
        <v>1.96289944979353</v>
      </c>
      <c r="D22" s="525" t="str">
        <f aca="false">IF(VLOOKUP(B22,'12.ppp data'!$C$3:$J$273,8,FALSE())="est","est","-")</f>
        <v>est</v>
      </c>
      <c r="E22" s="522" t="s">
        <v>262</v>
      </c>
      <c r="F22" s="525" t="n">
        <v>3.42105263157895</v>
      </c>
      <c r="G22" s="525" t="s">
        <v>263</v>
      </c>
      <c r="H22" s="472"/>
      <c r="I22" s="524"/>
      <c r="J22" s="522" t="s">
        <v>264</v>
      </c>
    </row>
    <row r="23" customFormat="false" ht="9.75" hidden="false" customHeight="true" outlineLevel="0" collapsed="false">
      <c r="A23" s="522" t="str">
        <f aca="false">'12.lan'!D340</f>
        <v>AFG Afghanistan</v>
      </c>
      <c r="B23" s="522" t="s">
        <v>265</v>
      </c>
      <c r="C23" s="525" t="n">
        <f aca="false">VLOOKUP(B23,'12.ppp data'!$C$3:$J$273,7,FALSE())</f>
        <v>3.77632641651362</v>
      </c>
      <c r="D23" s="525" t="str">
        <f aca="false">IF(VLOOKUP(B23,'12.ppp data'!$C$3:$J$273,8,FALSE())="est","est","-")</f>
        <v>-</v>
      </c>
      <c r="E23" s="522" t="s">
        <v>266</v>
      </c>
      <c r="F23" s="525" t="n">
        <v>4.17857142857143</v>
      </c>
      <c r="G23" s="525" t="s">
        <v>263</v>
      </c>
      <c r="H23" s="472"/>
      <c r="I23" s="524"/>
      <c r="J23" s="522" t="s">
        <v>267</v>
      </c>
    </row>
    <row r="24" customFormat="false" ht="9.75" hidden="false" customHeight="true" outlineLevel="0" collapsed="false">
      <c r="A24" s="522" t="str">
        <f aca="false">'12.lan'!D341</f>
        <v>AGO Angola</v>
      </c>
      <c r="B24" s="522" t="s">
        <v>268</v>
      </c>
      <c r="C24" s="525" t="n">
        <f aca="false">VLOOKUP(B24,'12.ppp data'!$C$3:$J$273,7,FALSE())</f>
        <v>1.72178179224687</v>
      </c>
      <c r="D24" s="525" t="str">
        <f aca="false">IF(VLOOKUP(B24,'12.ppp data'!$C$3:$J$273,8,FALSE())="est","est","-")</f>
        <v>-</v>
      </c>
      <c r="E24" s="522" t="s">
        <v>269</v>
      </c>
      <c r="F24" s="525" t="n">
        <v>2</v>
      </c>
      <c r="G24" s="525"/>
      <c r="H24" s="523"/>
      <c r="I24" s="524"/>
      <c r="J24" s="522" t="s">
        <v>270</v>
      </c>
    </row>
    <row r="25" customFormat="false" ht="9.75" hidden="false" customHeight="true" outlineLevel="0" collapsed="false">
      <c r="A25" s="522" t="str">
        <f aca="false">'12.lan'!D342</f>
        <v>ALB Albania</v>
      </c>
      <c r="B25" s="522" t="s">
        <v>271</v>
      </c>
      <c r="C25" s="525" t="n">
        <f aca="false">VLOOKUP(B25,'12.ppp data'!$C$3:$J$273,7,FALSE())</f>
        <v>2.95661266669197</v>
      </c>
      <c r="D25" s="525" t="str">
        <f aca="false">IF(VLOOKUP(B25,'12.ppp data'!$C$3:$J$273,8,FALSE())="est","est","-")</f>
        <v>-</v>
      </c>
      <c r="E25" s="522" t="s">
        <v>272</v>
      </c>
      <c r="F25" s="525" t="n">
        <v>2</v>
      </c>
      <c r="G25" s="525"/>
      <c r="H25" s="472"/>
      <c r="I25" s="524"/>
      <c r="J25" s="522" t="s">
        <v>273</v>
      </c>
    </row>
    <row r="26" customFormat="false" ht="9.75" hidden="false" customHeight="true" outlineLevel="0" collapsed="false">
      <c r="A26" s="522" t="str">
        <f aca="false">'12.lan'!D343</f>
        <v>AND Andorra</v>
      </c>
      <c r="B26" s="522" t="s">
        <v>274</v>
      </c>
      <c r="C26" s="525" t="n">
        <f aca="false">VLOOKUP(B26,'12.ppp data'!$C$3:$J$273,7,FALSE())</f>
        <v>1.93286164519776</v>
      </c>
      <c r="D26" s="525" t="str">
        <f aca="false">IF(VLOOKUP(B26,'12.ppp data'!$C$3:$J$273,8,FALSE())="est","est","-")</f>
        <v>est</v>
      </c>
      <c r="E26" s="522" t="s">
        <v>272</v>
      </c>
      <c r="F26" s="525" t="n">
        <v>2</v>
      </c>
      <c r="G26" s="525" t="s">
        <v>263</v>
      </c>
      <c r="H26" s="523"/>
      <c r="I26" s="524"/>
      <c r="J26" s="522" t="s">
        <v>275</v>
      </c>
    </row>
    <row r="27" customFormat="false" ht="9.75" hidden="false" customHeight="true" outlineLevel="0" collapsed="false">
      <c r="A27" s="522" t="str">
        <f aca="false">'12.lan'!D344</f>
        <v>ARE United Arab Emirates</v>
      </c>
      <c r="B27" s="522" t="s">
        <v>276</v>
      </c>
      <c r="C27" s="525" t="n">
        <f aca="false">VLOOKUP(B27,'12.ppp data'!$C$3:$J$273,7,FALSE())</f>
        <v>2.05010803135594</v>
      </c>
      <c r="D27" s="525" t="str">
        <f aca="false">IF(VLOOKUP(B27,'12.ppp data'!$C$3:$J$273,8,FALSE())="est","est","-")</f>
        <v>-</v>
      </c>
      <c r="E27" s="522" t="s">
        <v>266</v>
      </c>
      <c r="F27" s="525" t="n">
        <v>5</v>
      </c>
      <c r="G27" s="525"/>
      <c r="H27" s="523"/>
      <c r="I27" s="524"/>
      <c r="J27" s="522" t="s">
        <v>277</v>
      </c>
    </row>
    <row r="28" customFormat="false" ht="9.75" hidden="false" customHeight="true" outlineLevel="0" collapsed="false">
      <c r="A28" s="522" t="str">
        <f aca="false">'12.lan'!D345</f>
        <v>ARG Argentina</v>
      </c>
      <c r="B28" s="522" t="s">
        <v>278</v>
      </c>
      <c r="C28" s="525" t="n">
        <f aca="false">VLOOKUP(B28,'12.ppp data'!$C$3:$J$273,7,FALSE())</f>
        <v>1.62747059071785</v>
      </c>
      <c r="D28" s="525" t="str">
        <f aca="false">IF(VLOOKUP(B28,'12.ppp data'!$C$3:$J$273,8,FALSE())="est","est","-")</f>
        <v>-</v>
      </c>
      <c r="E28" s="522" t="s">
        <v>262</v>
      </c>
      <c r="F28" s="525" t="n">
        <v>4</v>
      </c>
      <c r="G28" s="525"/>
      <c r="H28" s="472"/>
      <c r="J28" s="522" t="s">
        <v>279</v>
      </c>
    </row>
    <row r="29" customFormat="false" ht="9.75" hidden="false" customHeight="true" outlineLevel="0" collapsed="false">
      <c r="A29" s="522" t="str">
        <f aca="false">'12.lan'!D346</f>
        <v>ARM Armenia</v>
      </c>
      <c r="B29" s="522" t="s">
        <v>280</v>
      </c>
      <c r="C29" s="525" t="n">
        <f aca="false">VLOOKUP(B29,'12.ppp data'!$C$3:$J$273,7,FALSE())</f>
        <v>2.67236733754238</v>
      </c>
      <c r="D29" s="525" t="str">
        <f aca="false">IF(VLOOKUP(B29,'12.ppp data'!$C$3:$J$273,8,FALSE())="est","est","-")</f>
        <v>-</v>
      </c>
      <c r="E29" s="522" t="s">
        <v>266</v>
      </c>
      <c r="F29" s="525" t="n">
        <v>4.17857142857143</v>
      </c>
      <c r="G29" s="525" t="s">
        <v>263</v>
      </c>
      <c r="H29" s="472"/>
      <c r="J29" s="522" t="s">
        <v>281</v>
      </c>
    </row>
    <row r="30" customFormat="false" ht="9.75" hidden="false" customHeight="true" outlineLevel="0" collapsed="false">
      <c r="A30" s="522" t="str">
        <f aca="false">'12.lan'!D347</f>
        <v>ASM American Samoa</v>
      </c>
      <c r="B30" s="522" t="s">
        <v>282</v>
      </c>
      <c r="C30" s="525" t="n">
        <f aca="false">VLOOKUP(B30,'12.ppp data'!$C$3:$J$273,7,FALSE())</f>
        <v>1.35633083709363</v>
      </c>
      <c r="D30" s="525" t="str">
        <f aca="false">IF(VLOOKUP(B30,'12.ppp data'!$C$3:$J$273,8,FALSE())="est","est","-")</f>
        <v>est</v>
      </c>
      <c r="E30" s="522" t="s">
        <v>283</v>
      </c>
      <c r="F30" s="525" t="n">
        <v>3</v>
      </c>
      <c r="G30" s="525"/>
      <c r="H30" s="472"/>
      <c r="J30" s="522" t="s">
        <v>284</v>
      </c>
    </row>
    <row r="31" customFormat="false" ht="9.75" hidden="false" customHeight="true" outlineLevel="0" collapsed="false">
      <c r="A31" s="522" t="str">
        <f aca="false">'12.lan'!D348</f>
        <v>ATG Antigua and Barbuda</v>
      </c>
      <c r="B31" s="522" t="s">
        <v>285</v>
      </c>
      <c r="C31" s="525" t="n">
        <f aca="false">VLOOKUP(B31,'12.ppp data'!$C$3:$J$273,7,FALSE())</f>
        <v>1.77403645769243</v>
      </c>
      <c r="D31" s="525" t="str">
        <f aca="false">IF(VLOOKUP(B31,'12.ppp data'!$C$3:$J$273,8,FALSE())="est","est","-")</f>
        <v>-</v>
      </c>
      <c r="E31" s="522" t="s">
        <v>262</v>
      </c>
      <c r="F31" s="525" t="n">
        <v>3.42105263157895</v>
      </c>
      <c r="G31" s="525" t="s">
        <v>263</v>
      </c>
      <c r="H31" s="472"/>
      <c r="J31" s="522" t="s">
        <v>286</v>
      </c>
    </row>
    <row r="32" customFormat="false" ht="9.75" hidden="false" customHeight="true" outlineLevel="0" collapsed="false">
      <c r="A32" s="522" t="str">
        <f aca="false">'12.lan'!D349</f>
        <v>AUS Australia</v>
      </c>
      <c r="B32" s="522" t="s">
        <v>287</v>
      </c>
      <c r="C32" s="525" t="n">
        <f aca="false">VLOOKUP(B32,'12.ppp data'!$C$3:$J$273,7,FALSE())</f>
        <v>0.972051582845554</v>
      </c>
      <c r="D32" s="525" t="str">
        <f aca="false">IF(VLOOKUP(B32,'12.ppp data'!$C$3:$J$273,8,FALSE())="est","est","-")</f>
        <v>-</v>
      </c>
      <c r="E32" s="522" t="s">
        <v>283</v>
      </c>
      <c r="F32" s="525" t="n">
        <v>3</v>
      </c>
      <c r="G32" s="525" t="s">
        <v>263</v>
      </c>
      <c r="H32" s="472"/>
      <c r="J32" s="522" t="s">
        <v>288</v>
      </c>
    </row>
    <row r="33" customFormat="false" ht="9.75" hidden="false" customHeight="true" outlineLevel="0" collapsed="false">
      <c r="A33" s="522" t="str">
        <f aca="false">'12.lan'!D350</f>
        <v>AUT Austria</v>
      </c>
      <c r="B33" s="522" t="s">
        <v>289</v>
      </c>
      <c r="C33" s="525" t="n">
        <f aca="false">VLOOKUP(B33,'12.ppp data'!$C$3:$J$273,7,FALSE())</f>
        <v>1.2523873634115</v>
      </c>
      <c r="D33" s="525" t="str">
        <f aca="false">IF(VLOOKUP(B33,'12.ppp data'!$C$3:$J$273,8,FALSE())="est","est","-")</f>
        <v>-</v>
      </c>
      <c r="E33" s="522" t="s">
        <v>272</v>
      </c>
      <c r="F33" s="525" t="n">
        <v>1</v>
      </c>
      <c r="G33" s="525"/>
      <c r="H33" s="472"/>
      <c r="J33" s="522" t="s">
        <v>290</v>
      </c>
    </row>
    <row r="34" customFormat="false" ht="9.75" hidden="false" customHeight="true" outlineLevel="0" collapsed="false">
      <c r="A34" s="522" t="str">
        <f aca="false">'12.lan'!D351</f>
        <v>AZE Azerbaijan</v>
      </c>
      <c r="B34" s="522" t="s">
        <v>291</v>
      </c>
      <c r="C34" s="525" t="n">
        <f aca="false">VLOOKUP(B34,'12.ppp data'!$C$3:$J$273,7,FALSE())</f>
        <v>4.73103091714864</v>
      </c>
      <c r="D34" s="525" t="str">
        <f aca="false">IF(VLOOKUP(B34,'12.ppp data'!$C$3:$J$273,8,FALSE())="est","est","-")</f>
        <v>-</v>
      </c>
      <c r="E34" s="522" t="s">
        <v>266</v>
      </c>
      <c r="F34" s="525" t="n">
        <v>4.17857142857143</v>
      </c>
      <c r="G34" s="525" t="s">
        <v>263</v>
      </c>
      <c r="H34" s="472"/>
      <c r="J34" s="522" t="s">
        <v>292</v>
      </c>
    </row>
    <row r="35" customFormat="false" ht="9.75" hidden="false" customHeight="true" outlineLevel="0" collapsed="false">
      <c r="A35" s="522" t="str">
        <f aca="false">'12.lan'!D352</f>
        <v>BDI Burundi</v>
      </c>
      <c r="B35" s="522" t="s">
        <v>293</v>
      </c>
      <c r="C35" s="525" t="n">
        <f aca="false">VLOOKUP(B35,'12.ppp data'!$C$3:$J$273,7,FALSE())</f>
        <v>2.67367256673563</v>
      </c>
      <c r="D35" s="525" t="str">
        <f aca="false">IF(VLOOKUP(B35,'12.ppp data'!$C$3:$J$273,8,FALSE())="est","est","-")</f>
        <v>-</v>
      </c>
      <c r="E35" s="522" t="s">
        <v>269</v>
      </c>
      <c r="F35" s="525" t="n">
        <v>3.70833333333333</v>
      </c>
      <c r="G35" s="525" t="s">
        <v>263</v>
      </c>
      <c r="H35" s="472"/>
      <c r="J35" s="522" t="s">
        <v>294</v>
      </c>
    </row>
    <row r="36" customFormat="false" ht="9.75" hidden="false" customHeight="true" outlineLevel="0" collapsed="false">
      <c r="A36" s="522" t="str">
        <f aca="false">'12.lan'!D353</f>
        <v>BEL Belgium</v>
      </c>
      <c r="B36" s="522" t="s">
        <v>295</v>
      </c>
      <c r="C36" s="525" t="n">
        <f aca="false">VLOOKUP(B36,'12.ppp data'!$C$3:$J$273,7,FALSE())</f>
        <v>1.23710472957509</v>
      </c>
      <c r="D36" s="525" t="str">
        <f aca="false">IF(VLOOKUP(B36,'12.ppp data'!$C$3:$J$273,8,FALSE())="est","est","-")</f>
        <v>-</v>
      </c>
      <c r="E36" s="522" t="s">
        <v>272</v>
      </c>
      <c r="F36" s="525" t="n">
        <v>1</v>
      </c>
      <c r="G36" s="525"/>
      <c r="H36" s="472"/>
      <c r="J36" s="522" t="s">
        <v>296</v>
      </c>
    </row>
    <row r="37" customFormat="false" ht="9.75" hidden="false" customHeight="true" outlineLevel="0" collapsed="false">
      <c r="A37" s="522" t="str">
        <f aca="false">'12.lan'!D354</f>
        <v>BEN Benin</v>
      </c>
      <c r="B37" s="522" t="s">
        <v>297</v>
      </c>
      <c r="C37" s="525" t="n">
        <f aca="false">VLOOKUP(B37,'12.ppp data'!$C$3:$J$273,7,FALSE())</f>
        <v>3.08829265535391</v>
      </c>
      <c r="D37" s="525" t="str">
        <f aca="false">IF(VLOOKUP(B37,'12.ppp data'!$C$3:$J$273,8,FALSE())="est","est","-")</f>
        <v>-</v>
      </c>
      <c r="E37" s="522" t="s">
        <v>269</v>
      </c>
      <c r="F37" s="525" t="n">
        <v>3.70833333333333</v>
      </c>
      <c r="G37" s="525" t="s">
        <v>263</v>
      </c>
      <c r="H37" s="472"/>
      <c r="J37" s="522" t="s">
        <v>298</v>
      </c>
    </row>
    <row r="38" customFormat="false" ht="9.75" hidden="false" customHeight="true" outlineLevel="0" collapsed="false">
      <c r="A38" s="522" t="str">
        <f aca="false">'12.lan'!D355</f>
        <v>BFA Burkina Faso</v>
      </c>
      <c r="B38" s="522" t="s">
        <v>299</v>
      </c>
      <c r="C38" s="525" t="n">
        <f aca="false">VLOOKUP(B38,'12.ppp data'!$C$3:$J$273,7,FALSE())</f>
        <v>3.14412039894307</v>
      </c>
      <c r="D38" s="525" t="str">
        <f aca="false">IF(VLOOKUP(B38,'12.ppp data'!$C$3:$J$273,8,FALSE())="est","est","-")</f>
        <v>-</v>
      </c>
      <c r="E38" s="522" t="s">
        <v>269</v>
      </c>
      <c r="F38" s="525" t="n">
        <v>3.70833333333333</v>
      </c>
      <c r="G38" s="525" t="s">
        <v>263</v>
      </c>
      <c r="H38" s="472"/>
      <c r="J38" s="522" t="s">
        <v>300</v>
      </c>
    </row>
    <row r="39" customFormat="false" ht="9.75" hidden="false" customHeight="true" outlineLevel="0" collapsed="false">
      <c r="A39" s="522" t="str">
        <f aca="false">'12.lan'!D356</f>
        <v>BGD Bangladesh</v>
      </c>
      <c r="B39" s="522" t="s">
        <v>301</v>
      </c>
      <c r="C39" s="525" t="n">
        <f aca="false">VLOOKUP(B39,'12.ppp data'!$C$3:$J$273,7,FALSE())</f>
        <v>2.91129894902451</v>
      </c>
      <c r="D39" s="525" t="str">
        <f aca="false">IF(VLOOKUP(B39,'12.ppp data'!$C$3:$J$273,8,FALSE())="est","est","-")</f>
        <v>-</v>
      </c>
      <c r="E39" s="522" t="s">
        <v>266</v>
      </c>
      <c r="F39" s="525" t="n">
        <v>5</v>
      </c>
      <c r="G39" s="525"/>
      <c r="H39" s="472"/>
      <c r="J39" s="522" t="s">
        <v>302</v>
      </c>
    </row>
    <row r="40" customFormat="false" ht="9.75" hidden="false" customHeight="true" outlineLevel="0" collapsed="false">
      <c r="A40" s="522" t="str">
        <f aca="false">'12.lan'!D357</f>
        <v>BGR Bulgaria</v>
      </c>
      <c r="B40" s="522" t="s">
        <v>303</v>
      </c>
      <c r="C40" s="525" t="n">
        <f aca="false">VLOOKUP(B40,'12.ppp data'!$C$3:$J$273,7,FALSE())</f>
        <v>2.84731792906487</v>
      </c>
      <c r="D40" s="525" t="str">
        <f aca="false">IF(VLOOKUP(B40,'12.ppp data'!$C$3:$J$273,8,FALSE())="est","est","-")</f>
        <v>-</v>
      </c>
      <c r="E40" s="522" t="s">
        <v>272</v>
      </c>
      <c r="F40" s="525" t="n">
        <v>3</v>
      </c>
      <c r="G40" s="525"/>
      <c r="H40" s="472"/>
      <c r="J40" s="522" t="s">
        <v>304</v>
      </c>
    </row>
    <row r="41" customFormat="false" ht="9.75" hidden="false" customHeight="true" outlineLevel="0" collapsed="false">
      <c r="A41" s="522" t="str">
        <f aca="false">'12.lan'!D358</f>
        <v>BHR Bahrain</v>
      </c>
      <c r="B41" s="522" t="s">
        <v>305</v>
      </c>
      <c r="C41" s="525" t="n">
        <f aca="false">VLOOKUP(B41,'12.ppp data'!$C$3:$J$273,7,FALSE())</f>
        <v>2.25756428214409</v>
      </c>
      <c r="D41" s="525" t="str">
        <f aca="false">IF(VLOOKUP(B41,'12.ppp data'!$C$3:$J$273,8,FALSE())="est","est","-")</f>
        <v>-</v>
      </c>
      <c r="E41" s="522" t="s">
        <v>266</v>
      </c>
      <c r="F41" s="525" t="n">
        <v>4</v>
      </c>
      <c r="G41" s="525"/>
      <c r="H41" s="472"/>
      <c r="J41" s="522" t="s">
        <v>306</v>
      </c>
    </row>
    <row r="42" customFormat="false" ht="9.75" hidden="false" customHeight="true" outlineLevel="0" collapsed="false">
      <c r="A42" s="522" t="str">
        <f aca="false">'12.lan'!D359</f>
        <v>BHS Bahamas</v>
      </c>
      <c r="B42" s="522" t="s">
        <v>307</v>
      </c>
      <c r="C42" s="525" t="n">
        <f aca="false">VLOOKUP(B42,'12.ppp data'!$C$3:$J$273,7,FALSE())</f>
        <v>1.11730570926189</v>
      </c>
      <c r="D42" s="525" t="str">
        <f aca="false">IF(VLOOKUP(B42,'12.ppp data'!$C$3:$J$273,8,FALSE())="est","est","-")</f>
        <v>-</v>
      </c>
      <c r="E42" s="522" t="s">
        <v>262</v>
      </c>
      <c r="F42" s="525" t="n">
        <v>3.42105263157895</v>
      </c>
      <c r="G42" s="525" t="s">
        <v>263</v>
      </c>
      <c r="H42" s="472"/>
      <c r="J42" s="522" t="s">
        <v>308</v>
      </c>
    </row>
    <row r="43" customFormat="false" ht="9.75" hidden="false" customHeight="true" outlineLevel="0" collapsed="false">
      <c r="A43" s="522" t="str">
        <f aca="false">'12.lan'!D360</f>
        <v>BIH Bosnia and Herzegovina</v>
      </c>
      <c r="B43" s="522" t="s">
        <v>309</v>
      </c>
      <c r="C43" s="525" t="n">
        <f aca="false">VLOOKUP(B43,'12.ppp data'!$C$3:$J$273,7,FALSE())</f>
        <v>2.8020129058</v>
      </c>
      <c r="D43" s="525" t="str">
        <f aca="false">IF(VLOOKUP(B43,'12.ppp data'!$C$3:$J$273,8,FALSE())="est","est","-")</f>
        <v>-</v>
      </c>
      <c r="E43" s="522" t="s">
        <v>272</v>
      </c>
      <c r="F43" s="525" t="n">
        <v>2</v>
      </c>
      <c r="G43" s="525"/>
      <c r="H43" s="472"/>
      <c r="J43" s="522" t="s">
        <v>310</v>
      </c>
    </row>
    <row r="44" customFormat="false" ht="9.75" hidden="false" customHeight="true" outlineLevel="0" collapsed="false">
      <c r="A44" s="522" t="str">
        <f aca="false">'12.lan'!D361</f>
        <v>BLR Belarus</v>
      </c>
      <c r="B44" s="522" t="s">
        <v>311</v>
      </c>
      <c r="C44" s="525" t="n">
        <f aca="false">VLOOKUP(B44,'12.ppp data'!$C$3:$J$273,7,FALSE())</f>
        <v>3.80461418295071</v>
      </c>
      <c r="D44" s="525" t="str">
        <f aca="false">IF(VLOOKUP(B44,'12.ppp data'!$C$3:$J$273,8,FALSE())="est","est","-")</f>
        <v>-</v>
      </c>
      <c r="E44" s="522" t="s">
        <v>272</v>
      </c>
      <c r="F44" s="525" t="n">
        <v>5</v>
      </c>
      <c r="G44" s="525"/>
      <c r="H44" s="472"/>
      <c r="J44" s="522" t="s">
        <v>312</v>
      </c>
    </row>
    <row r="45" customFormat="false" ht="9.75" hidden="false" customHeight="true" outlineLevel="0" collapsed="false">
      <c r="A45" s="522" t="str">
        <f aca="false">'12.lan'!D362</f>
        <v>BLZ Belize</v>
      </c>
      <c r="B45" s="522" t="s">
        <v>313</v>
      </c>
      <c r="C45" s="525" t="n">
        <f aca="false">VLOOKUP(B45,'12.ppp data'!$C$3:$J$273,7,FALSE())</f>
        <v>1.97784561070438</v>
      </c>
      <c r="D45" s="525" t="str">
        <f aca="false">IF(VLOOKUP(B45,'12.ppp data'!$C$3:$J$273,8,FALSE())="est","est","-")</f>
        <v>-</v>
      </c>
      <c r="E45" s="522" t="s">
        <v>262</v>
      </c>
      <c r="F45" s="525" t="n">
        <v>3.42105263157895</v>
      </c>
      <c r="G45" s="525" t="s">
        <v>263</v>
      </c>
      <c r="H45" s="472"/>
      <c r="J45" s="522" t="s">
        <v>314</v>
      </c>
    </row>
    <row r="46" customFormat="false" ht="9.75" hidden="false" customHeight="true" outlineLevel="0" collapsed="false">
      <c r="A46" s="522" t="str">
        <f aca="false">'12.lan'!D363</f>
        <v>BMU Bermuda</v>
      </c>
      <c r="B46" s="522" t="s">
        <v>315</v>
      </c>
      <c r="C46" s="525" t="n">
        <f aca="false">VLOOKUP(B46,'12.ppp data'!$C$3:$J$273,7,FALSE())</f>
        <v>1.96289944979353</v>
      </c>
      <c r="D46" s="525" t="str">
        <f aca="false">IF(VLOOKUP(B46,'12.ppp data'!$C$3:$J$273,8,FALSE())="est","est","-")</f>
        <v>est</v>
      </c>
      <c r="E46" s="522" t="s">
        <v>262</v>
      </c>
      <c r="F46" s="525" t="n">
        <v>3.42105263157895</v>
      </c>
      <c r="G46" s="525" t="s">
        <v>263</v>
      </c>
      <c r="H46" s="472"/>
      <c r="J46" s="522" t="s">
        <v>316</v>
      </c>
    </row>
    <row r="47" customFormat="false" ht="9.75" hidden="false" customHeight="true" outlineLevel="0" collapsed="false">
      <c r="A47" s="522" t="str">
        <f aca="false">'12.lan'!D364</f>
        <v>BOL Bolivia, Plurinational State of</v>
      </c>
      <c r="B47" s="522" t="s">
        <v>317</v>
      </c>
      <c r="C47" s="525" t="n">
        <f aca="false">VLOOKUP(B47,'12.ppp data'!$C$3:$J$273,7,FALSE())</f>
        <v>2.46756228664802</v>
      </c>
      <c r="D47" s="525" t="str">
        <f aca="false">IF(VLOOKUP(B47,'12.ppp data'!$C$3:$J$273,8,FALSE())="est","est","-")</f>
        <v>-</v>
      </c>
      <c r="E47" s="522" t="s">
        <v>262</v>
      </c>
      <c r="F47" s="525" t="n">
        <v>3</v>
      </c>
      <c r="G47" s="525"/>
      <c r="H47" s="472"/>
      <c r="J47" s="522" t="s">
        <v>318</v>
      </c>
    </row>
    <row r="48" customFormat="false" ht="9.75" hidden="false" customHeight="true" outlineLevel="0" collapsed="false">
      <c r="A48" s="522" t="str">
        <f aca="false">'12.lan'!D365</f>
        <v>BRA Brazil</v>
      </c>
      <c r="B48" s="522" t="s">
        <v>319</v>
      </c>
      <c r="C48" s="525" t="n">
        <f aca="false">VLOOKUP(B48,'12.ppp data'!$C$3:$J$273,7,FALSE())</f>
        <v>1.78027211262309</v>
      </c>
      <c r="D48" s="525" t="str">
        <f aca="false">IF(VLOOKUP(B48,'12.ppp data'!$C$3:$J$273,8,FALSE())="est","est","-")</f>
        <v>-</v>
      </c>
      <c r="E48" s="522" t="s">
        <v>262</v>
      </c>
      <c r="F48" s="525" t="n">
        <v>3</v>
      </c>
      <c r="G48" s="525"/>
      <c r="H48" s="472"/>
      <c r="J48" s="522" t="s">
        <v>320</v>
      </c>
    </row>
    <row r="49" customFormat="false" ht="9.75" hidden="false" customHeight="true" outlineLevel="0" collapsed="false">
      <c r="A49" s="522" t="str">
        <f aca="false">'12.lan'!D366</f>
        <v>BRB Barbados</v>
      </c>
      <c r="B49" s="522" t="s">
        <v>321</v>
      </c>
      <c r="C49" s="525" t="n">
        <f aca="false">VLOOKUP(B49,'12.ppp data'!$C$3:$J$273,7,FALSE())</f>
        <v>1.25400385466135</v>
      </c>
      <c r="D49" s="525" t="str">
        <f aca="false">IF(VLOOKUP(B49,'12.ppp data'!$C$3:$J$273,8,FALSE())="est","est","-")</f>
        <v>-</v>
      </c>
      <c r="E49" s="522" t="s">
        <v>262</v>
      </c>
      <c r="F49" s="525" t="n">
        <v>3.42105263157895</v>
      </c>
      <c r="G49" s="525" t="s">
        <v>263</v>
      </c>
      <c r="H49" s="472"/>
      <c r="J49" s="522" t="s">
        <v>322</v>
      </c>
    </row>
    <row r="50" customFormat="false" ht="9.75" hidden="false" customHeight="true" outlineLevel="0" collapsed="false">
      <c r="A50" s="522" t="str">
        <f aca="false">'12.lan'!D367</f>
        <v>BRN Brunei Darussalam</v>
      </c>
      <c r="B50" s="522" t="s">
        <v>323</v>
      </c>
      <c r="C50" s="525" t="n">
        <f aca="false">VLOOKUP(B50,'12.ppp data'!$C$3:$J$273,7,FALSE())</f>
        <v>3.11761815281005</v>
      </c>
      <c r="D50" s="525" t="str">
        <f aca="false">IF(VLOOKUP(B50,'12.ppp data'!$C$3:$J$273,8,FALSE())="est","est","-")</f>
        <v>-</v>
      </c>
      <c r="E50" s="522" t="s">
        <v>266</v>
      </c>
      <c r="F50" s="525" t="n">
        <v>4.17857142857143</v>
      </c>
      <c r="G50" s="525" t="s">
        <v>263</v>
      </c>
      <c r="H50" s="472"/>
      <c r="J50" s="522" t="s">
        <v>324</v>
      </c>
    </row>
    <row r="51" customFormat="false" ht="9.75" hidden="false" customHeight="true" outlineLevel="0" collapsed="false">
      <c r="A51" s="522" t="str">
        <f aca="false">'12.lan'!D368</f>
        <v>BTN Bhutan</v>
      </c>
      <c r="B51" s="522" t="s">
        <v>325</v>
      </c>
      <c r="C51" s="525" t="n">
        <f aca="false">VLOOKUP(B51,'12.ppp data'!$C$3:$J$273,7,FALSE())</f>
        <v>3.32340929187407</v>
      </c>
      <c r="D51" s="525" t="str">
        <f aca="false">IF(VLOOKUP(B51,'12.ppp data'!$C$3:$J$273,8,FALSE())="est","est","-")</f>
        <v>-</v>
      </c>
      <c r="E51" s="522" t="s">
        <v>266</v>
      </c>
      <c r="F51" s="525" t="n">
        <v>4.17857142857143</v>
      </c>
      <c r="G51" s="525" t="s">
        <v>263</v>
      </c>
      <c r="H51" s="472"/>
      <c r="J51" s="522" t="s">
        <v>326</v>
      </c>
    </row>
    <row r="52" customFormat="false" ht="9.75" hidden="false" customHeight="true" outlineLevel="0" collapsed="false">
      <c r="A52" s="522" t="str">
        <f aca="false">'12.lan'!D369</f>
        <v>BWA Botswana</v>
      </c>
      <c r="B52" s="522" t="s">
        <v>327</v>
      </c>
      <c r="C52" s="525" t="n">
        <f aca="false">VLOOKUP(B52,'12.ppp data'!$C$3:$J$273,7,FALSE())</f>
        <v>2.55030434987067</v>
      </c>
      <c r="D52" s="525" t="str">
        <f aca="false">IF(VLOOKUP(B52,'12.ppp data'!$C$3:$J$273,8,FALSE())="est","est","-")</f>
        <v>-</v>
      </c>
      <c r="E52" s="522" t="s">
        <v>269</v>
      </c>
      <c r="F52" s="525" t="n">
        <v>4</v>
      </c>
      <c r="G52" s="525"/>
      <c r="H52" s="472"/>
      <c r="J52" s="522" t="s">
        <v>328</v>
      </c>
    </row>
    <row r="53" customFormat="false" ht="9.75" hidden="false" customHeight="true" outlineLevel="0" collapsed="false">
      <c r="A53" s="522" t="str">
        <f aca="false">'12.lan'!D370</f>
        <v>CAF Central African Republic</v>
      </c>
      <c r="B53" s="522" t="s">
        <v>329</v>
      </c>
      <c r="C53" s="525" t="n">
        <f aca="false">VLOOKUP(B53,'12.ppp data'!$C$3:$J$273,7,FALSE())</f>
        <v>1.95902564248837</v>
      </c>
      <c r="D53" s="525" t="str">
        <f aca="false">IF(VLOOKUP(B53,'12.ppp data'!$C$3:$J$273,8,FALSE())="est","est","-")</f>
        <v>-</v>
      </c>
      <c r="E53" s="522" t="s">
        <v>269</v>
      </c>
      <c r="F53" s="525" t="n">
        <v>3.70833333333333</v>
      </c>
      <c r="G53" s="525" t="s">
        <v>263</v>
      </c>
      <c r="H53" s="472"/>
      <c r="J53" s="522" t="s">
        <v>330</v>
      </c>
    </row>
    <row r="54" customFormat="false" ht="9.75" hidden="false" customHeight="true" outlineLevel="0" collapsed="false">
      <c r="A54" s="522" t="str">
        <f aca="false">'12.lan'!D371</f>
        <v>CAN Canada</v>
      </c>
      <c r="B54" s="522" t="s">
        <v>331</v>
      </c>
      <c r="C54" s="525" t="n">
        <f aca="false">VLOOKUP(B54,'12.ppp data'!$C$3:$J$273,7,FALSE())</f>
        <v>1.16347457237046</v>
      </c>
      <c r="D54" s="525" t="str">
        <f aca="false">IF(VLOOKUP(B54,'12.ppp data'!$C$3:$J$273,8,FALSE())="est","est","-")</f>
        <v>-</v>
      </c>
      <c r="E54" s="522" t="s">
        <v>262</v>
      </c>
      <c r="F54" s="525" t="n">
        <v>3</v>
      </c>
      <c r="G54" s="525"/>
      <c r="H54" s="472"/>
      <c r="I54" s="526"/>
      <c r="J54" s="522" t="s">
        <v>332</v>
      </c>
    </row>
    <row r="55" customFormat="false" ht="9.75" hidden="false" customHeight="true" outlineLevel="0" collapsed="false">
      <c r="A55" s="522" t="str">
        <f aca="false">'12.lan'!D372</f>
        <v>CHE Switzerland</v>
      </c>
      <c r="B55" s="522" t="s">
        <v>333</v>
      </c>
      <c r="C55" s="525" t="n">
        <f aca="false">VLOOKUP(B55,'12.ppp data'!$C$3:$J$273,7,FALSE())</f>
        <v>0.915388283910166</v>
      </c>
      <c r="D55" s="525" t="str">
        <f aca="false">IF(VLOOKUP(B55,'12.ppp data'!$C$3:$J$273,8,FALSE())="est","est","-")</f>
        <v>-</v>
      </c>
      <c r="E55" s="522" t="s">
        <v>272</v>
      </c>
      <c r="F55" s="525" t="n">
        <v>2</v>
      </c>
      <c r="G55" s="525" t="s">
        <v>263</v>
      </c>
      <c r="H55" s="472"/>
      <c r="J55" s="522" t="s">
        <v>334</v>
      </c>
    </row>
    <row r="56" customFormat="false" ht="9.75" hidden="false" customHeight="true" outlineLevel="0" collapsed="false">
      <c r="A56" s="522" t="str">
        <f aca="false">'12.lan'!D373</f>
        <v>CHL Chile</v>
      </c>
      <c r="B56" s="522" t="s">
        <v>335</v>
      </c>
      <c r="C56" s="525" t="n">
        <f aca="false">VLOOKUP(B56,'12.ppp data'!$C$3:$J$273,7,FALSE())</f>
        <v>1.76442448139645</v>
      </c>
      <c r="D56" s="525" t="str">
        <f aca="false">IF(VLOOKUP(B56,'12.ppp data'!$C$3:$J$273,8,FALSE())="est","est","-")</f>
        <v>-</v>
      </c>
      <c r="E56" s="522" t="s">
        <v>262</v>
      </c>
      <c r="F56" s="525" t="n">
        <v>3</v>
      </c>
      <c r="G56" s="525"/>
      <c r="H56" s="472"/>
      <c r="J56" s="522" t="s">
        <v>336</v>
      </c>
    </row>
    <row r="57" customFormat="false" ht="9.75" hidden="false" customHeight="true" outlineLevel="0" collapsed="false">
      <c r="A57" s="522" t="str">
        <f aca="false">'12.lan'!D374</f>
        <v>CHN China</v>
      </c>
      <c r="B57" s="522" t="s">
        <v>337</v>
      </c>
      <c r="C57" s="525" t="n">
        <f aca="false">VLOOKUP(B57,'12.ppp data'!$C$3:$J$273,7,FALSE())</f>
        <v>2.15037979616706</v>
      </c>
      <c r="D57" s="525" t="str">
        <f aca="false">IF(VLOOKUP(B57,'12.ppp data'!$C$3:$J$273,8,FALSE())="est","est","-")</f>
        <v>-</v>
      </c>
      <c r="E57" s="522" t="s">
        <v>266</v>
      </c>
      <c r="F57" s="525" t="n">
        <v>5</v>
      </c>
      <c r="G57" s="525"/>
      <c r="H57" s="472"/>
      <c r="J57" s="522" t="s">
        <v>338</v>
      </c>
    </row>
    <row r="58" customFormat="false" ht="9.75" hidden="false" customHeight="true" outlineLevel="0" collapsed="false">
      <c r="A58" s="522" t="str">
        <f aca="false">'12.lan'!D375</f>
        <v>CIV Côte d'Ivoire</v>
      </c>
      <c r="B58" s="522" t="s">
        <v>339</v>
      </c>
      <c r="C58" s="525" t="n">
        <f aca="false">VLOOKUP(B58,'12.ppp data'!$C$3:$J$273,7,FALSE())</f>
        <v>2.68358914431382</v>
      </c>
      <c r="D58" s="525" t="str">
        <f aca="false">IF(VLOOKUP(B58,'12.ppp data'!$C$3:$J$273,8,FALSE())="est","est","-")</f>
        <v>-</v>
      </c>
      <c r="E58" s="522" t="s">
        <v>269</v>
      </c>
      <c r="F58" s="525" t="n">
        <v>5</v>
      </c>
      <c r="G58" s="525"/>
      <c r="H58" s="472"/>
      <c r="J58" s="522" t="s">
        <v>340</v>
      </c>
    </row>
    <row r="59" customFormat="false" ht="9.75" hidden="false" customHeight="true" outlineLevel="0" collapsed="false">
      <c r="A59" s="522" t="str">
        <f aca="false">'12.lan'!D376</f>
        <v>CMR Cameroon</v>
      </c>
      <c r="B59" s="522" t="s">
        <v>341</v>
      </c>
      <c r="C59" s="525" t="n">
        <f aca="false">VLOOKUP(B59,'12.ppp data'!$C$3:$J$273,7,FALSE())</f>
        <v>2.883238648488</v>
      </c>
      <c r="D59" s="525" t="str">
        <f aca="false">IF(VLOOKUP(B59,'12.ppp data'!$C$3:$J$273,8,FALSE())="est","est","-")</f>
        <v>-</v>
      </c>
      <c r="E59" s="522" t="s">
        <v>269</v>
      </c>
      <c r="F59" s="525" t="n">
        <v>2</v>
      </c>
      <c r="G59" s="525"/>
      <c r="H59" s="472"/>
      <c r="J59" s="522" t="s">
        <v>342</v>
      </c>
    </row>
    <row r="60" customFormat="false" ht="9.75" hidden="false" customHeight="true" outlineLevel="0" collapsed="false">
      <c r="A60" s="522" t="str">
        <f aca="false">'12.lan'!D377</f>
        <v>COD Congo, the Democratic Republic of the</v>
      </c>
      <c r="B60" s="522" t="s">
        <v>343</v>
      </c>
      <c r="C60" s="525" t="n">
        <f aca="false">VLOOKUP(B60,'12.ppp data'!$C$3:$J$273,7,FALSE())</f>
        <v>2.12993928105123</v>
      </c>
      <c r="D60" s="525" t="str">
        <f aca="false">IF(VLOOKUP(B60,'12.ppp data'!$C$3:$J$273,8,FALSE())="est","est","-")</f>
        <v>-</v>
      </c>
      <c r="E60" s="522" t="s">
        <v>269</v>
      </c>
      <c r="F60" s="525" t="n">
        <v>4</v>
      </c>
      <c r="G60" s="525"/>
      <c r="H60" s="472"/>
      <c r="J60" s="522" t="s">
        <v>344</v>
      </c>
    </row>
    <row r="61" customFormat="false" ht="9.75" hidden="false" customHeight="true" outlineLevel="0" collapsed="false">
      <c r="A61" s="522" t="str">
        <f aca="false">'12.lan'!D378</f>
        <v>COG Congo</v>
      </c>
      <c r="B61" s="522" t="s">
        <v>345</v>
      </c>
      <c r="C61" s="525" t="n">
        <f aca="false">VLOOKUP(B61,'12.ppp data'!$C$3:$J$273,7,FALSE())</f>
        <v>3.6495000244035</v>
      </c>
      <c r="D61" s="525" t="str">
        <f aca="false">IF(VLOOKUP(B61,'12.ppp data'!$C$3:$J$273,8,FALSE())="est","est","-")</f>
        <v>-</v>
      </c>
      <c r="E61" s="522" t="s">
        <v>269</v>
      </c>
      <c r="F61" s="525" t="n">
        <v>3</v>
      </c>
      <c r="G61" s="525"/>
      <c r="H61" s="472"/>
      <c r="J61" s="522" t="s">
        <v>346</v>
      </c>
    </row>
    <row r="62" customFormat="false" ht="9.75" hidden="false" customHeight="true" outlineLevel="0" collapsed="false">
      <c r="A62" s="522" t="str">
        <f aca="false">'12.lan'!D379</f>
        <v>COL Colombia</v>
      </c>
      <c r="B62" s="522" t="s">
        <v>347</v>
      </c>
      <c r="C62" s="525" t="n">
        <f aca="false">VLOOKUP(B62,'12.ppp data'!$C$3:$J$273,7,FALSE())</f>
        <v>2.59989679628651</v>
      </c>
      <c r="D62" s="525" t="str">
        <f aca="false">IF(VLOOKUP(B62,'12.ppp data'!$C$3:$J$273,8,FALSE())="est","est","-")</f>
        <v>-</v>
      </c>
      <c r="E62" s="522" t="s">
        <v>262</v>
      </c>
      <c r="F62" s="525" t="n">
        <v>5</v>
      </c>
      <c r="G62" s="525"/>
      <c r="H62" s="472"/>
      <c r="J62" s="522" t="s">
        <v>348</v>
      </c>
    </row>
    <row r="63" customFormat="false" ht="9.75" hidden="false" customHeight="true" outlineLevel="0" collapsed="false">
      <c r="A63" s="522" t="str">
        <f aca="false">'12.lan'!D380</f>
        <v>COM Comoros</v>
      </c>
      <c r="B63" s="522" t="s">
        <v>349</v>
      </c>
      <c r="C63" s="525" t="n">
        <f aca="false">VLOOKUP(B63,'12.ppp data'!$C$3:$J$273,7,FALSE())</f>
        <v>2.1983905043498</v>
      </c>
      <c r="D63" s="525" t="str">
        <f aca="false">IF(VLOOKUP(B63,'12.ppp data'!$C$3:$J$273,8,FALSE())="est","est","-")</f>
        <v>-</v>
      </c>
      <c r="E63" s="522" t="s">
        <v>269</v>
      </c>
      <c r="F63" s="525" t="n">
        <v>3.70833333333333</v>
      </c>
      <c r="G63" s="525" t="s">
        <v>263</v>
      </c>
      <c r="H63" s="472"/>
      <c r="J63" s="522" t="s">
        <v>350</v>
      </c>
    </row>
    <row r="64" customFormat="false" ht="9.75" hidden="false" customHeight="true" outlineLevel="0" collapsed="false">
      <c r="A64" s="522" t="str">
        <f aca="false">'12.lan'!D381</f>
        <v>CPV Cape Verde</v>
      </c>
      <c r="B64" s="522" t="s">
        <v>351</v>
      </c>
      <c r="C64" s="525" t="n">
        <f aca="false">VLOOKUP(B64,'12.ppp data'!$C$3:$J$273,7,FALSE())</f>
        <v>2.40219140752974</v>
      </c>
      <c r="D64" s="525" t="str">
        <f aca="false">IF(VLOOKUP(B64,'12.ppp data'!$C$3:$J$273,8,FALSE())="est","est","-")</f>
        <v>-</v>
      </c>
      <c r="E64" s="522" t="s">
        <v>269</v>
      </c>
      <c r="F64" s="525" t="n">
        <v>3.70833333333333</v>
      </c>
      <c r="G64" s="525" t="s">
        <v>263</v>
      </c>
      <c r="H64" s="472"/>
      <c r="J64" s="522" t="s">
        <v>352</v>
      </c>
    </row>
    <row r="65" customFormat="false" ht="9.75" hidden="false" customHeight="true" outlineLevel="0" collapsed="false">
      <c r="A65" s="522" t="str">
        <f aca="false">'12.lan'!D382</f>
        <v>CRI Costa Rica</v>
      </c>
      <c r="B65" s="522" t="s">
        <v>353</v>
      </c>
      <c r="C65" s="525" t="n">
        <f aca="false">VLOOKUP(B65,'12.ppp data'!$C$3:$J$273,7,FALSE())</f>
        <v>1.60112437517919</v>
      </c>
      <c r="D65" s="525" t="str">
        <f aca="false">IF(VLOOKUP(B65,'12.ppp data'!$C$3:$J$273,8,FALSE())="est","est","-")</f>
        <v>-</v>
      </c>
      <c r="E65" s="522" t="s">
        <v>262</v>
      </c>
      <c r="F65" s="525" t="n">
        <v>3</v>
      </c>
      <c r="G65" s="525"/>
      <c r="H65" s="472"/>
      <c r="J65" s="522" t="s">
        <v>354</v>
      </c>
    </row>
    <row r="66" customFormat="false" ht="9.75" hidden="false" customHeight="true" outlineLevel="0" collapsed="false">
      <c r="A66" s="522" t="str">
        <f aca="false">'12.lan'!D383</f>
        <v>CUB Cuba</v>
      </c>
      <c r="B66" s="522" t="s">
        <v>355</v>
      </c>
      <c r="C66" s="525" t="n">
        <f aca="false">VLOOKUP(B66,'12.ppp data'!$C$3:$J$273,7,FALSE())</f>
        <v>1.96289944979353</v>
      </c>
      <c r="D66" s="525" t="str">
        <f aca="false">IF(VLOOKUP(B66,'12.ppp data'!$C$3:$J$273,8,FALSE())="est","est","-")</f>
        <v>est</v>
      </c>
      <c r="E66" s="522" t="s">
        <v>262</v>
      </c>
      <c r="F66" s="525" t="n">
        <v>3.42105263157895</v>
      </c>
      <c r="G66" s="525" t="s">
        <v>263</v>
      </c>
      <c r="H66" s="472"/>
      <c r="J66" s="522" t="s">
        <v>356</v>
      </c>
    </row>
    <row r="67" customFormat="false" ht="9.75" hidden="false" customHeight="true" outlineLevel="0" collapsed="false">
      <c r="A67" s="522" t="str">
        <f aca="false">'12.lan'!D384</f>
        <v>CUW Curaçao</v>
      </c>
      <c r="B67" s="522" t="s">
        <v>357</v>
      </c>
      <c r="C67" s="525" t="n">
        <f aca="false">VLOOKUP(B67,'12.ppp data'!$C$3:$J$273,7,FALSE())</f>
        <v>1.96289944979353</v>
      </c>
      <c r="D67" s="525" t="str">
        <f aca="false">IF(VLOOKUP(B67,'12.ppp data'!$C$3:$J$273,8,FALSE())="est","est","-")</f>
        <v>est</v>
      </c>
      <c r="E67" s="522" t="s">
        <v>262</v>
      </c>
      <c r="F67" s="525" t="n">
        <v>3.42105263157895</v>
      </c>
      <c r="G67" s="525" t="s">
        <v>263</v>
      </c>
      <c r="H67" s="472"/>
      <c r="J67" s="522" t="s">
        <v>358</v>
      </c>
    </row>
    <row r="68" customFormat="false" ht="9.75" hidden="false" customHeight="true" outlineLevel="0" collapsed="false">
      <c r="A68" s="522" t="str">
        <f aca="false">'12.lan'!D385</f>
        <v>CYM Cayman Islands</v>
      </c>
      <c r="B68" s="522" t="s">
        <v>359</v>
      </c>
      <c r="C68" s="525" t="n">
        <f aca="false">VLOOKUP(B68,'12.ppp data'!$C$3:$J$273,7,FALSE())</f>
        <v>1.96289944979353</v>
      </c>
      <c r="D68" s="525" t="str">
        <f aca="false">IF(VLOOKUP(B68,'12.ppp data'!$C$3:$J$273,8,FALSE())="est","est","-")</f>
        <v>est</v>
      </c>
      <c r="E68" s="522" t="s">
        <v>262</v>
      </c>
      <c r="F68" s="525" t="n">
        <v>3.42105263157895</v>
      </c>
      <c r="G68" s="525" t="s">
        <v>263</v>
      </c>
      <c r="H68" s="472"/>
      <c r="J68" s="522" t="s">
        <v>360</v>
      </c>
    </row>
    <row r="69" customFormat="false" ht="9.75" hidden="false" customHeight="true" outlineLevel="0" collapsed="false">
      <c r="A69" s="522" t="str">
        <f aca="false">'12.lan'!D386</f>
        <v>CYP Cyprus</v>
      </c>
      <c r="B69" s="522" t="s">
        <v>361</v>
      </c>
      <c r="C69" s="525" t="n">
        <f aca="false">VLOOKUP(B69,'12.ppp data'!$C$3:$J$273,7,FALSE())</f>
        <v>1.54086517177572</v>
      </c>
      <c r="D69" s="525" t="str">
        <f aca="false">IF(VLOOKUP(B69,'12.ppp data'!$C$3:$J$273,8,FALSE())="est","est","-")</f>
        <v>-</v>
      </c>
      <c r="E69" s="522" t="s">
        <v>266</v>
      </c>
      <c r="F69" s="525" t="n">
        <v>4.17857142857143</v>
      </c>
      <c r="G69" s="525" t="s">
        <v>263</v>
      </c>
      <c r="H69" s="472"/>
      <c r="J69" s="522" t="s">
        <v>362</v>
      </c>
    </row>
    <row r="70" customFormat="false" ht="9.75" hidden="false" customHeight="true" outlineLevel="0" collapsed="false">
      <c r="A70" s="522" t="str">
        <f aca="false">'12.lan'!D387</f>
        <v>CZE Czech Republic</v>
      </c>
      <c r="B70" s="522" t="s">
        <v>363</v>
      </c>
      <c r="C70" s="525" t="n">
        <f aca="false">VLOOKUP(B70,'12.ppp data'!$C$3:$J$273,7,FALSE())</f>
        <v>2.04587492829756</v>
      </c>
      <c r="D70" s="525" t="str">
        <f aca="false">IF(VLOOKUP(B70,'12.ppp data'!$C$3:$J$273,8,FALSE())="est","est","-")</f>
        <v>-</v>
      </c>
      <c r="E70" s="522" t="s">
        <v>272</v>
      </c>
      <c r="F70" s="525" t="n">
        <v>2</v>
      </c>
      <c r="G70" s="525"/>
      <c r="H70" s="472"/>
      <c r="J70" s="522" t="s">
        <v>364</v>
      </c>
    </row>
    <row r="71" customFormat="false" ht="9.75" hidden="false" customHeight="true" outlineLevel="0" collapsed="false">
      <c r="A71" s="522" t="str">
        <f aca="false">'12.lan'!D388</f>
        <v>DEU Germany</v>
      </c>
      <c r="B71" s="522" t="s">
        <v>365</v>
      </c>
      <c r="C71" s="525" t="n">
        <f aca="false">VLOOKUP(B71,'12.ppp data'!$C$3:$J$273,7,FALSE())</f>
        <v>1.28515872995474</v>
      </c>
      <c r="D71" s="525" t="str">
        <f aca="false">IF(VLOOKUP(B71,'12.ppp data'!$C$3:$J$273,8,FALSE())="est","est","-")</f>
        <v>-</v>
      </c>
      <c r="E71" s="522" t="s">
        <v>272</v>
      </c>
      <c r="F71" s="525" t="n">
        <v>1</v>
      </c>
      <c r="G71" s="525"/>
      <c r="H71" s="472"/>
      <c r="J71" s="522" t="s">
        <v>366</v>
      </c>
    </row>
    <row r="72" customFormat="false" ht="9.75" hidden="false" customHeight="true" outlineLevel="0" collapsed="false">
      <c r="A72" s="522" t="str">
        <f aca="false">'12.lan'!D389</f>
        <v>DJI Djibouti</v>
      </c>
      <c r="B72" s="522" t="s">
        <v>367</v>
      </c>
      <c r="C72" s="525" t="n">
        <f aca="false">VLOOKUP(B72,'12.ppp data'!$C$3:$J$273,7,FALSE())</f>
        <v>3.03256163278312</v>
      </c>
      <c r="D72" s="525" t="str">
        <f aca="false">IF(VLOOKUP(B72,'12.ppp data'!$C$3:$J$273,8,FALSE())="est","est","-")</f>
        <v>est</v>
      </c>
      <c r="E72" s="522" t="s">
        <v>269</v>
      </c>
      <c r="F72" s="525" t="n">
        <v>3.70833333333333</v>
      </c>
      <c r="G72" s="525" t="s">
        <v>263</v>
      </c>
      <c r="H72" s="472"/>
      <c r="J72" s="522" t="s">
        <v>368</v>
      </c>
    </row>
    <row r="73" customFormat="false" ht="9.75" hidden="false" customHeight="true" outlineLevel="0" collapsed="false">
      <c r="A73" s="522" t="str">
        <f aca="false">'12.lan'!D390</f>
        <v>DMA Dominica</v>
      </c>
      <c r="B73" s="522" t="s">
        <v>369</v>
      </c>
      <c r="C73" s="525" t="n">
        <f aca="false">VLOOKUP(B73,'12.ppp data'!$C$3:$J$273,7,FALSE())</f>
        <v>1.57631235380568</v>
      </c>
      <c r="D73" s="525" t="str">
        <f aca="false">IF(VLOOKUP(B73,'12.ppp data'!$C$3:$J$273,8,FALSE())="est","est","-")</f>
        <v>-</v>
      </c>
      <c r="E73" s="522" t="s">
        <v>262</v>
      </c>
      <c r="F73" s="525" t="n">
        <v>3.42105263157895</v>
      </c>
      <c r="G73" s="525" t="s">
        <v>263</v>
      </c>
      <c r="H73" s="472"/>
      <c r="J73" s="522" t="s">
        <v>370</v>
      </c>
    </row>
    <row r="74" customFormat="false" ht="9.75" hidden="false" customHeight="true" outlineLevel="0" collapsed="false">
      <c r="A74" s="522" t="str">
        <f aca="false">'12.lan'!D391</f>
        <v>DNK Denmark</v>
      </c>
      <c r="B74" s="522" t="s">
        <v>371</v>
      </c>
      <c r="C74" s="525" t="n">
        <f aca="false">VLOOKUP(B74,'12.ppp data'!$C$3:$J$273,7,FALSE())</f>
        <v>1.01296444948685</v>
      </c>
      <c r="D74" s="525" t="str">
        <f aca="false">IF(VLOOKUP(B74,'12.ppp data'!$C$3:$J$273,8,FALSE())="est","est","-")</f>
        <v>-</v>
      </c>
      <c r="E74" s="522" t="s">
        <v>272</v>
      </c>
      <c r="F74" s="525" t="n">
        <v>1</v>
      </c>
      <c r="G74" s="525"/>
      <c r="H74" s="472"/>
      <c r="J74" s="522" t="s">
        <v>372</v>
      </c>
    </row>
    <row r="75" customFormat="false" ht="9.75" hidden="false" customHeight="true" outlineLevel="0" collapsed="false">
      <c r="A75" s="522" t="str">
        <f aca="false">'12.lan'!D392</f>
        <v>DOM Dominican Republic</v>
      </c>
      <c r="B75" s="522" t="s">
        <v>373</v>
      </c>
      <c r="C75" s="525" t="n">
        <f aca="false">VLOOKUP(B75,'12.ppp data'!$C$3:$J$273,7,FALSE())</f>
        <v>2.52709449445265</v>
      </c>
      <c r="D75" s="525" t="str">
        <f aca="false">IF(VLOOKUP(B75,'12.ppp data'!$C$3:$J$273,8,FALSE())="est","est","-")</f>
        <v>-</v>
      </c>
      <c r="E75" s="522" t="s">
        <v>262</v>
      </c>
      <c r="F75" s="525" t="n">
        <v>2</v>
      </c>
      <c r="G75" s="525"/>
      <c r="H75" s="472"/>
      <c r="J75" s="522" t="s">
        <v>374</v>
      </c>
    </row>
    <row r="76" customFormat="false" ht="9.75" hidden="false" customHeight="true" outlineLevel="0" collapsed="false">
      <c r="A76" s="522" t="str">
        <f aca="false">'12.lan'!D393</f>
        <v>DZA Algeria</v>
      </c>
      <c r="B76" s="522" t="s">
        <v>375</v>
      </c>
      <c r="C76" s="525" t="n">
        <f aca="false">VLOOKUP(B76,'12.ppp data'!$C$3:$J$273,7,FALSE())</f>
        <v>4.16426228483382</v>
      </c>
      <c r="D76" s="525" t="str">
        <f aca="false">IF(VLOOKUP(B76,'12.ppp data'!$C$3:$J$273,8,FALSE())="est","est","-")</f>
        <v>-</v>
      </c>
      <c r="E76" s="522" t="s">
        <v>269</v>
      </c>
      <c r="F76" s="525" t="n">
        <v>5</v>
      </c>
      <c r="G76" s="525"/>
      <c r="H76" s="472"/>
      <c r="J76" s="522" t="s">
        <v>376</v>
      </c>
    </row>
    <row r="77" customFormat="false" ht="9.75" hidden="false" customHeight="true" outlineLevel="0" collapsed="false">
      <c r="A77" s="522" t="str">
        <f aca="false">'12.lan'!D394</f>
        <v>ECU Ecuador</v>
      </c>
      <c r="B77" s="522" t="s">
        <v>377</v>
      </c>
      <c r="C77" s="525" t="n">
        <f aca="false">VLOOKUP(B77,'12.ppp data'!$C$3:$J$273,7,FALSE())</f>
        <v>2.11677387007622</v>
      </c>
      <c r="D77" s="525" t="str">
        <f aca="false">IF(VLOOKUP(B77,'12.ppp data'!$C$3:$J$273,8,FALSE())="est","est","-")</f>
        <v>-</v>
      </c>
      <c r="E77" s="522" t="s">
        <v>262</v>
      </c>
      <c r="F77" s="525" t="n">
        <v>3</v>
      </c>
      <c r="G77" s="525"/>
      <c r="H77" s="472"/>
      <c r="J77" s="522" t="s">
        <v>378</v>
      </c>
    </row>
    <row r="78" customFormat="false" ht="9.75" hidden="false" customHeight="true" outlineLevel="0" collapsed="false">
      <c r="A78" s="522" t="str">
        <f aca="false">'12.lan'!D395</f>
        <v>EGY Egypt</v>
      </c>
      <c r="B78" s="522" t="s">
        <v>379</v>
      </c>
      <c r="C78" s="525" t="n">
        <f aca="false">VLOOKUP(B78,'12.ppp data'!$C$3:$J$273,7,FALSE())</f>
        <v>6.55173951984856</v>
      </c>
      <c r="D78" s="525" t="str">
        <f aca="false">IF(VLOOKUP(B78,'12.ppp data'!$C$3:$J$273,8,FALSE())="est","est","-")</f>
        <v>-</v>
      </c>
      <c r="E78" s="522" t="s">
        <v>269</v>
      </c>
      <c r="F78" s="525" t="n">
        <v>5</v>
      </c>
      <c r="G78" s="525"/>
      <c r="H78" s="472"/>
      <c r="J78" s="522" t="s">
        <v>380</v>
      </c>
    </row>
    <row r="79" customFormat="false" ht="9.75" hidden="false" customHeight="true" outlineLevel="0" collapsed="false">
      <c r="A79" s="522" t="str">
        <f aca="false">'12.lan'!D396</f>
        <v>ERI Eritrea</v>
      </c>
      <c r="B79" s="522" t="s">
        <v>381</v>
      </c>
      <c r="C79" s="525" t="n">
        <f aca="false">VLOOKUP(B79,'12.ppp data'!$C$3:$J$273,7,FALSE())</f>
        <v>3.03256163278312</v>
      </c>
      <c r="D79" s="525" t="str">
        <f aca="false">IF(VLOOKUP(B79,'12.ppp data'!$C$3:$J$273,8,FALSE())="est","est","-")</f>
        <v>est</v>
      </c>
      <c r="E79" s="522" t="s">
        <v>269</v>
      </c>
      <c r="F79" s="525" t="n">
        <v>3.70833333333333</v>
      </c>
      <c r="G79" s="525" t="s">
        <v>263</v>
      </c>
      <c r="H79" s="472"/>
      <c r="J79" s="522" t="s">
        <v>382</v>
      </c>
    </row>
    <row r="80" customFormat="false" ht="9.75" hidden="false" customHeight="true" outlineLevel="0" collapsed="false">
      <c r="A80" s="522" t="str">
        <f aca="false">'12.lan'!D397</f>
        <v>ESP Spain</v>
      </c>
      <c r="B80" s="522" t="s">
        <v>383</v>
      </c>
      <c r="C80" s="525" t="n">
        <f aca="false">VLOOKUP(B80,'12.ppp data'!$C$3:$J$273,7,FALSE())</f>
        <v>1.52447390405571</v>
      </c>
      <c r="D80" s="525" t="str">
        <f aca="false">IF(VLOOKUP(B80,'12.ppp data'!$C$3:$J$273,8,FALSE())="est","est","-")</f>
        <v>-</v>
      </c>
      <c r="E80" s="522" t="s">
        <v>272</v>
      </c>
      <c r="F80" s="525" t="n">
        <v>2</v>
      </c>
      <c r="G80" s="525"/>
      <c r="H80" s="472"/>
      <c r="J80" s="522" t="s">
        <v>384</v>
      </c>
    </row>
    <row r="81" customFormat="false" ht="9.75" hidden="false" customHeight="true" outlineLevel="0" collapsed="false">
      <c r="A81" s="522" t="str">
        <f aca="false">'12.lan'!D398</f>
        <v>EST Estonia</v>
      </c>
      <c r="B81" s="522" t="s">
        <v>385</v>
      </c>
      <c r="C81" s="525" t="n">
        <f aca="false">VLOOKUP(B81,'12.ppp data'!$C$3:$J$273,7,FALSE())</f>
        <v>1.80932926354871</v>
      </c>
      <c r="D81" s="525" t="str">
        <f aca="false">IF(VLOOKUP(B81,'12.ppp data'!$C$3:$J$273,8,FALSE())="est","est","-")</f>
        <v>-</v>
      </c>
      <c r="E81" s="522" t="s">
        <v>272</v>
      </c>
      <c r="F81" s="525" t="n">
        <v>1</v>
      </c>
      <c r="G81" s="525"/>
      <c r="H81" s="472"/>
      <c r="J81" s="522" t="s">
        <v>386</v>
      </c>
    </row>
    <row r="82" customFormat="false" ht="9.75" hidden="false" customHeight="true" outlineLevel="0" collapsed="false">
      <c r="A82" s="522" t="str">
        <f aca="false">'12.lan'!D399</f>
        <v>ETH Ethiopia</v>
      </c>
      <c r="B82" s="522" t="s">
        <v>387</v>
      </c>
      <c r="C82" s="525" t="n">
        <f aca="false">VLOOKUP(B82,'12.ppp data'!$C$3:$J$273,7,FALSE())</f>
        <v>2.95615597273597</v>
      </c>
      <c r="D82" s="525" t="str">
        <f aca="false">IF(VLOOKUP(B82,'12.ppp data'!$C$3:$J$273,8,FALSE())="est","est","-")</f>
        <v>-</v>
      </c>
      <c r="E82" s="522" t="s">
        <v>269</v>
      </c>
      <c r="F82" s="525" t="n">
        <v>3</v>
      </c>
      <c r="G82" s="525"/>
      <c r="H82" s="472"/>
      <c r="J82" s="522" t="s">
        <v>388</v>
      </c>
    </row>
    <row r="83" customFormat="false" ht="9.75" hidden="false" customHeight="true" outlineLevel="0" collapsed="false">
      <c r="A83" s="522" t="str">
        <f aca="false">'12.lan'!D400</f>
        <v>FIN Finland</v>
      </c>
      <c r="B83" s="522" t="s">
        <v>389</v>
      </c>
      <c r="C83" s="525" t="n">
        <f aca="false">VLOOKUP(B83,'12.ppp data'!$C$3:$J$273,7,FALSE())</f>
        <v>1.11427317075345</v>
      </c>
      <c r="D83" s="525" t="str">
        <f aca="false">IF(VLOOKUP(B83,'12.ppp data'!$C$3:$J$273,8,FALSE())="est","est","-")</f>
        <v>-</v>
      </c>
      <c r="E83" s="522" t="s">
        <v>272</v>
      </c>
      <c r="F83" s="525" t="n">
        <v>1</v>
      </c>
      <c r="G83" s="525"/>
      <c r="H83" s="472"/>
      <c r="J83" s="522" t="s">
        <v>390</v>
      </c>
    </row>
    <row r="84" customFormat="false" ht="9.75" hidden="false" customHeight="true" outlineLevel="0" collapsed="false">
      <c r="A84" s="522" t="str">
        <f aca="false">'12.lan'!D401</f>
        <v>FJI Fiji</v>
      </c>
      <c r="B84" s="522" t="s">
        <v>391</v>
      </c>
      <c r="C84" s="525" t="n">
        <f aca="false">VLOOKUP(B84,'12.ppp data'!$C$3:$J$273,7,FALSE())</f>
        <v>1.91198514556138</v>
      </c>
      <c r="D84" s="525" t="str">
        <f aca="false">IF(VLOOKUP(B84,'12.ppp data'!$C$3:$J$273,8,FALSE())="est","est","-")</f>
        <v>-</v>
      </c>
      <c r="E84" s="522" t="s">
        <v>283</v>
      </c>
      <c r="F84" s="525" t="n">
        <v>3</v>
      </c>
      <c r="G84" s="525" t="s">
        <v>263</v>
      </c>
      <c r="H84" s="472"/>
      <c r="J84" s="522" t="s">
        <v>392</v>
      </c>
    </row>
    <row r="85" customFormat="false" ht="9.75" hidden="false" customHeight="true" outlineLevel="0" collapsed="false">
      <c r="A85" s="522" t="str">
        <f aca="false">'12.lan'!D402</f>
        <v>FRA France</v>
      </c>
      <c r="B85" s="522" t="s">
        <v>393</v>
      </c>
      <c r="C85" s="525" t="n">
        <f aca="false">VLOOKUP(B85,'12.ppp data'!$C$3:$J$273,7,FALSE())</f>
        <v>1.25289418556866</v>
      </c>
      <c r="D85" s="525" t="str">
        <f aca="false">IF(VLOOKUP(B85,'12.ppp data'!$C$3:$J$273,8,FALSE())="est","est","-")</f>
        <v>-</v>
      </c>
      <c r="E85" s="522" t="s">
        <v>272</v>
      </c>
      <c r="F85" s="525" t="n">
        <v>1</v>
      </c>
      <c r="G85" s="525"/>
      <c r="H85" s="472"/>
      <c r="J85" s="522" t="s">
        <v>394</v>
      </c>
    </row>
    <row r="86" customFormat="false" ht="9.75" hidden="false" customHeight="true" outlineLevel="0" collapsed="false">
      <c r="A86" s="522" t="str">
        <f aca="false">'12.lan'!D403</f>
        <v>FRO Faroe Islands</v>
      </c>
      <c r="B86" s="522" t="s">
        <v>395</v>
      </c>
      <c r="C86" s="525" t="n">
        <f aca="false">VLOOKUP(B86,'12.ppp data'!$C$3:$J$273,7,FALSE())</f>
        <v>1.93286164519776</v>
      </c>
      <c r="D86" s="525" t="str">
        <f aca="false">IF(VLOOKUP(B86,'12.ppp data'!$C$3:$J$273,8,FALSE())="est","est","-")</f>
        <v>est</v>
      </c>
      <c r="E86" s="522" t="s">
        <v>272</v>
      </c>
      <c r="F86" s="525" t="n">
        <v>2</v>
      </c>
      <c r="G86" s="525" t="s">
        <v>263</v>
      </c>
      <c r="H86" s="472"/>
      <c r="J86" s="522" t="s">
        <v>396</v>
      </c>
    </row>
    <row r="87" customFormat="false" ht="9.75" hidden="false" customHeight="true" outlineLevel="0" collapsed="false">
      <c r="A87" s="522" t="str">
        <f aca="false">'12.lan'!D404</f>
        <v>FSM Micronesia, Federated States of</v>
      </c>
      <c r="B87" s="522" t="s">
        <v>397</v>
      </c>
      <c r="C87" s="525" t="n">
        <f aca="false">VLOOKUP(B87,'12.ppp data'!$C$3:$J$273,7,FALSE())</f>
        <v>1.28354960501633</v>
      </c>
      <c r="D87" s="525" t="str">
        <f aca="false">IF(VLOOKUP(B87,'12.ppp data'!$C$3:$J$273,8,FALSE())="est","est","-")</f>
        <v>-</v>
      </c>
      <c r="E87" s="522" t="s">
        <v>283</v>
      </c>
      <c r="F87" s="525" t="n">
        <v>3</v>
      </c>
      <c r="G87" s="525" t="s">
        <v>263</v>
      </c>
      <c r="H87" s="472"/>
      <c r="J87" s="522" t="s">
        <v>398</v>
      </c>
    </row>
    <row r="88" customFormat="false" ht="9.75" hidden="false" customHeight="true" outlineLevel="0" collapsed="false">
      <c r="A88" s="522" t="str">
        <f aca="false">'12.lan'!D405</f>
        <v>GAB Gabon</v>
      </c>
      <c r="B88" s="522" t="s">
        <v>399</v>
      </c>
      <c r="C88" s="525" t="n">
        <f aca="false">VLOOKUP(B88,'12.ppp data'!$C$3:$J$273,7,FALSE())</f>
        <v>2.84334462825291</v>
      </c>
      <c r="D88" s="525" t="str">
        <f aca="false">IF(VLOOKUP(B88,'12.ppp data'!$C$3:$J$273,8,FALSE())="est","est","-")</f>
        <v>-</v>
      </c>
      <c r="E88" s="522" t="s">
        <v>269</v>
      </c>
      <c r="F88" s="525" t="n">
        <v>3.70833333333333</v>
      </c>
      <c r="G88" s="525" t="s">
        <v>263</v>
      </c>
      <c r="H88" s="472"/>
      <c r="J88" s="522" t="s">
        <v>400</v>
      </c>
    </row>
    <row r="89" customFormat="false" ht="9.75" hidden="false" customHeight="true" outlineLevel="0" collapsed="false">
      <c r="A89" s="522" t="str">
        <f aca="false">'12.lan'!D406</f>
        <v>GBR United Kingdom</v>
      </c>
      <c r="B89" s="522" t="s">
        <v>401</v>
      </c>
      <c r="C89" s="525" t="n">
        <f aca="false">VLOOKUP(B89,'12.ppp data'!$C$3:$J$273,7,FALSE())</f>
        <v>1.2471403241674</v>
      </c>
      <c r="D89" s="525" t="str">
        <f aca="false">IF(VLOOKUP(B89,'12.ppp data'!$C$3:$J$273,8,FALSE())="est","est","-")</f>
        <v>-</v>
      </c>
      <c r="E89" s="522" t="s">
        <v>272</v>
      </c>
      <c r="F89" s="525" t="n">
        <v>3</v>
      </c>
      <c r="G89" s="525"/>
      <c r="H89" s="472"/>
      <c r="J89" s="522" t="s">
        <v>402</v>
      </c>
    </row>
    <row r="90" customFormat="false" ht="9.75" hidden="false" customHeight="true" outlineLevel="0" collapsed="false">
      <c r="A90" s="522" t="str">
        <f aca="false">'12.lan'!D407</f>
        <v>GEO Georgia</v>
      </c>
      <c r="B90" s="522" t="s">
        <v>403</v>
      </c>
      <c r="C90" s="525" t="n">
        <f aca="false">VLOOKUP(B90,'12.ppp data'!$C$3:$J$273,7,FALSE())</f>
        <v>2.94235866883313</v>
      </c>
      <c r="D90" s="525" t="str">
        <f aca="false">IF(VLOOKUP(B90,'12.ppp data'!$C$3:$J$273,8,FALSE())="est","est","-")</f>
        <v>-</v>
      </c>
      <c r="E90" s="522" t="s">
        <v>266</v>
      </c>
      <c r="F90" s="525" t="n">
        <v>3</v>
      </c>
      <c r="G90" s="525"/>
      <c r="H90" s="472"/>
      <c r="J90" s="522" t="s">
        <v>404</v>
      </c>
    </row>
    <row r="91" customFormat="false" ht="9.75" hidden="false" customHeight="true" outlineLevel="0" collapsed="false">
      <c r="A91" s="522" t="str">
        <f aca="false">'12.lan'!D408</f>
        <v>GHA Ghana</v>
      </c>
      <c r="B91" s="522" t="s">
        <v>405</v>
      </c>
      <c r="C91" s="525" t="n">
        <f aca="false">VLOOKUP(B91,'12.ppp data'!$C$3:$J$273,7,FALSE())</f>
        <v>3.21490765229489</v>
      </c>
      <c r="D91" s="525" t="str">
        <f aca="false">IF(VLOOKUP(B91,'12.ppp data'!$C$3:$J$273,8,FALSE())="est","est","-")</f>
        <v>-</v>
      </c>
      <c r="E91" s="522" t="s">
        <v>269</v>
      </c>
      <c r="F91" s="525" t="n">
        <v>3</v>
      </c>
      <c r="G91" s="525"/>
      <c r="H91" s="472"/>
      <c r="J91" s="522" t="s">
        <v>406</v>
      </c>
    </row>
    <row r="92" customFormat="false" ht="9.75" hidden="false" customHeight="true" outlineLevel="0" collapsed="false">
      <c r="A92" s="522" t="str">
        <f aca="false">'12.lan'!D409</f>
        <v>GIB Gibraltar</v>
      </c>
      <c r="B92" s="522" t="s">
        <v>407</v>
      </c>
      <c r="C92" s="525" t="n">
        <f aca="false">VLOOKUP(B92,'12.ppp data'!$C$3:$J$273,7,FALSE())</f>
        <v>1.93286164519776</v>
      </c>
      <c r="D92" s="525" t="str">
        <f aca="false">IF(VLOOKUP(B92,'12.ppp data'!$C$3:$J$273,8,FALSE())="est","est","-")</f>
        <v>est</v>
      </c>
      <c r="E92" s="522" t="s">
        <v>272</v>
      </c>
      <c r="F92" s="525" t="n">
        <v>2</v>
      </c>
      <c r="G92" s="525" t="s">
        <v>263</v>
      </c>
      <c r="H92" s="472"/>
      <c r="J92" s="522" t="s">
        <v>408</v>
      </c>
    </row>
    <row r="93" customFormat="false" ht="9.75" hidden="false" customHeight="true" outlineLevel="0" collapsed="false">
      <c r="A93" s="522" t="str">
        <f aca="false">'12.lan'!D410</f>
        <v>GIN Guinea</v>
      </c>
      <c r="B93" s="522" t="s">
        <v>409</v>
      </c>
      <c r="C93" s="525" t="n">
        <f aca="false">VLOOKUP(B93,'12.ppp data'!$C$3:$J$273,7,FALSE())</f>
        <v>3.01592206857968</v>
      </c>
      <c r="D93" s="525" t="str">
        <f aca="false">IF(VLOOKUP(B93,'12.ppp data'!$C$3:$J$273,8,FALSE())="est","est","-")</f>
        <v>-</v>
      </c>
      <c r="E93" s="522" t="s">
        <v>269</v>
      </c>
      <c r="F93" s="525" t="n">
        <v>3.70833333333333</v>
      </c>
      <c r="G93" s="525" t="s">
        <v>263</v>
      </c>
      <c r="H93" s="472"/>
      <c r="J93" s="522" t="s">
        <v>410</v>
      </c>
    </row>
    <row r="94" customFormat="false" ht="9.75" hidden="false" customHeight="true" outlineLevel="0" collapsed="false">
      <c r="A94" s="522" t="str">
        <f aca="false">'12.lan'!D411</f>
        <v>GMB Gambia</v>
      </c>
      <c r="B94" s="522" t="s">
        <v>411</v>
      </c>
      <c r="C94" s="525" t="n">
        <f aca="false">VLOOKUP(B94,'12.ppp data'!$C$3:$J$273,7,FALSE())</f>
        <v>3.86717588280632</v>
      </c>
      <c r="D94" s="525" t="str">
        <f aca="false">IF(VLOOKUP(B94,'12.ppp data'!$C$3:$J$273,8,FALSE())="est","est","-")</f>
        <v>-</v>
      </c>
      <c r="E94" s="522" t="s">
        <v>269</v>
      </c>
      <c r="F94" s="525" t="n">
        <v>3.70833333333333</v>
      </c>
      <c r="G94" s="525" t="s">
        <v>263</v>
      </c>
      <c r="H94" s="472"/>
      <c r="J94" s="522" t="s">
        <v>412</v>
      </c>
    </row>
    <row r="95" customFormat="false" ht="9.75" hidden="false" customHeight="true" outlineLevel="0" collapsed="false">
      <c r="A95" s="522" t="str">
        <f aca="false">'12.lan'!D412</f>
        <v>GNB Guinea-Bissau</v>
      </c>
      <c r="B95" s="522" t="s">
        <v>413</v>
      </c>
      <c r="C95" s="525" t="n">
        <f aca="false">VLOOKUP(B95,'12.ppp data'!$C$3:$J$273,7,FALSE())</f>
        <v>2.65133912964036</v>
      </c>
      <c r="D95" s="525" t="str">
        <f aca="false">IF(VLOOKUP(B95,'12.ppp data'!$C$3:$J$273,8,FALSE())="est","est","-")</f>
        <v>-</v>
      </c>
      <c r="E95" s="522" t="s">
        <v>269</v>
      </c>
      <c r="F95" s="525" t="n">
        <v>3.70833333333333</v>
      </c>
      <c r="G95" s="525" t="s">
        <v>263</v>
      </c>
      <c r="H95" s="472"/>
      <c r="I95" s="526"/>
      <c r="J95" s="522" t="s">
        <v>414</v>
      </c>
    </row>
    <row r="96" customFormat="false" ht="9.75" hidden="false" customHeight="true" outlineLevel="0" collapsed="false">
      <c r="A96" s="522" t="str">
        <f aca="false">'12.lan'!D413</f>
        <v>GNQ Equatorial Guinea</v>
      </c>
      <c r="B96" s="522" t="s">
        <v>415</v>
      </c>
      <c r="C96" s="525" t="n">
        <f aca="false">VLOOKUP(B96,'12.ppp data'!$C$3:$J$273,7,FALSE())</f>
        <v>2.84478640455259</v>
      </c>
      <c r="D96" s="525" t="str">
        <f aca="false">IF(VLOOKUP(B96,'12.ppp data'!$C$3:$J$273,8,FALSE())="est","est","-")</f>
        <v>-</v>
      </c>
      <c r="E96" s="522" t="s">
        <v>269</v>
      </c>
      <c r="F96" s="525" t="n">
        <v>3.70833333333333</v>
      </c>
      <c r="G96" s="525" t="s">
        <v>263</v>
      </c>
      <c r="H96" s="472"/>
      <c r="J96" s="522" t="s">
        <v>416</v>
      </c>
    </row>
    <row r="97" customFormat="false" ht="9.75" hidden="false" customHeight="true" outlineLevel="0" collapsed="false">
      <c r="A97" s="522" t="str">
        <f aca="false">'12.lan'!D414</f>
        <v>GRC Greece</v>
      </c>
      <c r="B97" s="522" t="s">
        <v>417</v>
      </c>
      <c r="C97" s="525" t="n">
        <f aca="false">VLOOKUP(B97,'12.ppp data'!$C$3:$J$273,7,FALSE())</f>
        <v>1.68363206578287</v>
      </c>
      <c r="D97" s="525" t="str">
        <f aca="false">IF(VLOOKUP(B97,'12.ppp data'!$C$3:$J$273,8,FALSE())="est","est","-")</f>
        <v>-</v>
      </c>
      <c r="E97" s="522" t="s">
        <v>272</v>
      </c>
      <c r="F97" s="525" t="n">
        <v>5</v>
      </c>
      <c r="G97" s="525"/>
      <c r="H97" s="472"/>
      <c r="J97" s="522" t="s">
        <v>418</v>
      </c>
    </row>
    <row r="98" customFormat="false" ht="9.75" hidden="false" customHeight="true" outlineLevel="0" collapsed="false">
      <c r="A98" s="522" t="str">
        <f aca="false">'12.lan'!D415</f>
        <v>GRD Grenada</v>
      </c>
      <c r="B98" s="522" t="s">
        <v>419</v>
      </c>
      <c r="C98" s="525" t="n">
        <f aca="false">VLOOKUP(B98,'12.ppp data'!$C$3:$J$273,7,FALSE())</f>
        <v>1.62454270208294</v>
      </c>
      <c r="D98" s="525" t="str">
        <f aca="false">IF(VLOOKUP(B98,'12.ppp data'!$C$3:$J$273,8,FALSE())="est","est","-")</f>
        <v>-</v>
      </c>
      <c r="E98" s="522" t="s">
        <v>262</v>
      </c>
      <c r="F98" s="525" t="n">
        <v>3.42105263157895</v>
      </c>
      <c r="G98" s="525" t="s">
        <v>263</v>
      </c>
      <c r="H98" s="472"/>
      <c r="J98" s="522" t="s">
        <v>420</v>
      </c>
    </row>
    <row r="99" customFormat="false" ht="9.75" hidden="false" customHeight="true" outlineLevel="0" collapsed="false">
      <c r="A99" s="522" t="str">
        <f aca="false">'12.lan'!D416</f>
        <v>GRL Greenland</v>
      </c>
      <c r="B99" s="522" t="s">
        <v>421</v>
      </c>
      <c r="C99" s="525" t="n">
        <f aca="false">VLOOKUP(B99,'12.ppp data'!$C$3:$J$273,7,FALSE())</f>
        <v>1.96289944979353</v>
      </c>
      <c r="D99" s="525" t="str">
        <f aca="false">IF(VLOOKUP(B99,'12.ppp data'!$C$3:$J$273,8,FALSE())="est","est","-")</f>
        <v>est</v>
      </c>
      <c r="E99" s="522" t="s">
        <v>262</v>
      </c>
      <c r="F99" s="525" t="n">
        <v>3.42105263157895</v>
      </c>
      <c r="G99" s="525" t="s">
        <v>263</v>
      </c>
      <c r="H99" s="472"/>
      <c r="J99" s="522" t="s">
        <v>422</v>
      </c>
    </row>
    <row r="100" customFormat="false" ht="9.75" hidden="false" customHeight="true" outlineLevel="0" collapsed="false">
      <c r="A100" s="522" t="str">
        <f aca="false">'12.lan'!D417</f>
        <v>GTM Guatemala</v>
      </c>
      <c r="B100" s="522" t="s">
        <v>423</v>
      </c>
      <c r="C100" s="525" t="n">
        <f aca="false">VLOOKUP(B100,'12.ppp data'!$C$3:$J$273,7,FALSE())</f>
        <v>2.01278962314171</v>
      </c>
      <c r="D100" s="525" t="str">
        <f aca="false">IF(VLOOKUP(B100,'12.ppp data'!$C$3:$J$273,8,FALSE())="est","est","-")</f>
        <v>-</v>
      </c>
      <c r="E100" s="522" t="s">
        <v>262</v>
      </c>
      <c r="F100" s="525" t="n">
        <v>5</v>
      </c>
      <c r="G100" s="525"/>
      <c r="H100" s="472"/>
      <c r="J100" s="522" t="s">
        <v>424</v>
      </c>
    </row>
    <row r="101" customFormat="false" ht="9.75" hidden="false" customHeight="true" outlineLevel="0" collapsed="false">
      <c r="A101" s="522" t="str">
        <f aca="false">'12.lan'!D418</f>
        <v>GUM Guam</v>
      </c>
      <c r="B101" s="522" t="s">
        <v>425</v>
      </c>
      <c r="C101" s="525" t="n">
        <f aca="false">VLOOKUP(B101,'12.ppp data'!$C$3:$J$273,7,FALSE())</f>
        <v>1.35633083709363</v>
      </c>
      <c r="D101" s="525" t="str">
        <f aca="false">IF(VLOOKUP(B101,'12.ppp data'!$C$3:$J$273,8,FALSE())="est","est","-")</f>
        <v>est</v>
      </c>
      <c r="E101" s="522" t="s">
        <v>283</v>
      </c>
      <c r="F101" s="525" t="n">
        <v>3</v>
      </c>
      <c r="G101" s="525" t="s">
        <v>263</v>
      </c>
      <c r="H101" s="472"/>
      <c r="J101" s="522" t="s">
        <v>426</v>
      </c>
    </row>
    <row r="102" customFormat="false" ht="9.75" hidden="false" customHeight="true" outlineLevel="0" collapsed="false">
      <c r="A102" s="522" t="str">
        <f aca="false">'12.lan'!D419</f>
        <v>GUY Guyana</v>
      </c>
      <c r="B102" s="522" t="s">
        <v>427</v>
      </c>
      <c r="C102" s="525" t="n">
        <f aca="false">VLOOKUP(B102,'12.ppp data'!$C$3:$J$273,7,FALSE())</f>
        <v>1.87836494216092</v>
      </c>
      <c r="D102" s="525" t="str">
        <f aca="false">IF(VLOOKUP(B102,'12.ppp data'!$C$3:$J$273,8,FALSE())="est","est","-")</f>
        <v>-</v>
      </c>
      <c r="E102" s="522" t="s">
        <v>262</v>
      </c>
      <c r="F102" s="525" t="n">
        <v>3.42105263157895</v>
      </c>
      <c r="G102" s="525" t="s">
        <v>263</v>
      </c>
      <c r="H102" s="472"/>
      <c r="J102" s="522" t="s">
        <v>428</v>
      </c>
    </row>
    <row r="103" customFormat="false" ht="9.75" hidden="false" customHeight="true" outlineLevel="0" collapsed="false">
      <c r="A103" s="522" t="str">
        <f aca="false">'12.lan'!D420</f>
        <v>HKG Hong Kong</v>
      </c>
      <c r="B103" s="522" t="s">
        <v>429</v>
      </c>
      <c r="C103" s="525" t="n">
        <f aca="false">VLOOKUP(B103,'12.ppp data'!$C$3:$J$273,7,FALSE())</f>
        <v>1.50451152741912</v>
      </c>
      <c r="D103" s="525" t="str">
        <f aca="false">IF(VLOOKUP(B103,'12.ppp data'!$C$3:$J$273,8,FALSE())="est","est","-")</f>
        <v>-</v>
      </c>
      <c r="E103" s="522" t="s">
        <v>266</v>
      </c>
      <c r="F103" s="525" t="n">
        <v>4</v>
      </c>
      <c r="G103" s="525"/>
      <c r="H103" s="472"/>
      <c r="J103" s="522" t="s">
        <v>430</v>
      </c>
    </row>
    <row r="104" customFormat="false" ht="9.75" hidden="false" customHeight="true" outlineLevel="0" collapsed="false">
      <c r="A104" s="522" t="str">
        <f aca="false">'12.lan'!D421</f>
        <v>HND Honduras</v>
      </c>
      <c r="B104" s="522" t="s">
        <v>431</v>
      </c>
      <c r="C104" s="525" t="n">
        <f aca="false">VLOOKUP(B104,'12.ppp data'!$C$3:$J$273,7,FALSE())</f>
        <v>2.2357860143795</v>
      </c>
      <c r="D104" s="525" t="str">
        <f aca="false">IF(VLOOKUP(B104,'12.ppp data'!$C$3:$J$273,8,FALSE())="est","est","-")</f>
        <v>-</v>
      </c>
      <c r="E104" s="522" t="s">
        <v>262</v>
      </c>
      <c r="F104" s="525" t="n">
        <v>4</v>
      </c>
      <c r="G104" s="525"/>
      <c r="H104" s="472"/>
      <c r="J104" s="522" t="s">
        <v>432</v>
      </c>
    </row>
    <row r="105" customFormat="false" ht="9.75" hidden="false" customHeight="true" outlineLevel="0" collapsed="false">
      <c r="A105" s="522" t="str">
        <f aca="false">'12.lan'!D422</f>
        <v>HRV Croatia</v>
      </c>
      <c r="B105" s="522" t="s">
        <v>433</v>
      </c>
      <c r="C105" s="525" t="n">
        <f aca="false">VLOOKUP(B105,'12.ppp data'!$C$3:$J$273,7,FALSE())</f>
        <v>2.14327791531878</v>
      </c>
      <c r="D105" s="525" t="str">
        <f aca="false">IF(VLOOKUP(B105,'12.ppp data'!$C$3:$J$273,8,FALSE())="est","est","-")</f>
        <v>-</v>
      </c>
      <c r="E105" s="522" t="s">
        <v>272</v>
      </c>
      <c r="F105" s="525" t="n">
        <v>2</v>
      </c>
      <c r="G105" s="525"/>
      <c r="H105" s="472"/>
      <c r="J105" s="522" t="s">
        <v>434</v>
      </c>
    </row>
    <row r="106" customFormat="false" ht="9.75" hidden="false" customHeight="true" outlineLevel="0" collapsed="false">
      <c r="A106" s="522" t="str">
        <f aca="false">'12.lan'!D423</f>
        <v>HTI Haiti</v>
      </c>
      <c r="B106" s="522" t="s">
        <v>435</v>
      </c>
      <c r="C106" s="525" t="n">
        <f aca="false">VLOOKUP(B106,'12.ppp data'!$C$3:$J$273,7,FALSE())</f>
        <v>2.61499172092398</v>
      </c>
      <c r="D106" s="525" t="str">
        <f aca="false">IF(VLOOKUP(B106,'12.ppp data'!$C$3:$J$273,8,FALSE())="est","est","-")</f>
        <v>-</v>
      </c>
      <c r="E106" s="522" t="s">
        <v>262</v>
      </c>
      <c r="F106" s="525" t="n">
        <v>3.42105263157895</v>
      </c>
      <c r="G106" s="525" t="s">
        <v>263</v>
      </c>
      <c r="H106" s="472"/>
      <c r="J106" s="522" t="s">
        <v>436</v>
      </c>
    </row>
    <row r="107" customFormat="false" ht="9.75" hidden="false" customHeight="true" outlineLevel="0" collapsed="false">
      <c r="A107" s="522" t="str">
        <f aca="false">'12.lan'!D424</f>
        <v>HUN Hungary</v>
      </c>
      <c r="B107" s="522" t="s">
        <v>437</v>
      </c>
      <c r="C107" s="525" t="n">
        <f aca="false">VLOOKUP(B107,'12.ppp data'!$C$3:$J$273,7,FALSE())</f>
        <v>2.25034533624825</v>
      </c>
      <c r="D107" s="525" t="str">
        <f aca="false">IF(VLOOKUP(B107,'12.ppp data'!$C$3:$J$273,8,FALSE())="est","est","-")</f>
        <v>-</v>
      </c>
      <c r="E107" s="522" t="s">
        <v>272</v>
      </c>
      <c r="F107" s="525" t="n">
        <v>2</v>
      </c>
      <c r="G107" s="525"/>
      <c r="H107" s="472"/>
      <c r="J107" s="522" t="s">
        <v>438</v>
      </c>
    </row>
    <row r="108" customFormat="false" ht="9.75" hidden="false" customHeight="true" outlineLevel="0" collapsed="false">
      <c r="A108" s="522" t="str">
        <f aca="false">'12.lan'!D425</f>
        <v>IDN Indonesia</v>
      </c>
      <c r="B108" s="522" t="s">
        <v>439</v>
      </c>
      <c r="C108" s="525" t="n">
        <f aca="false">VLOOKUP(B108,'12.ppp data'!$C$3:$J$273,7,FALSE())</f>
        <v>3.59491487646491</v>
      </c>
      <c r="D108" s="525" t="str">
        <f aca="false">IF(VLOOKUP(B108,'12.ppp data'!$C$3:$J$273,8,FALSE())="est","est","-")</f>
        <v>-</v>
      </c>
      <c r="E108" s="522" t="s">
        <v>266</v>
      </c>
      <c r="F108" s="525" t="n">
        <v>4</v>
      </c>
      <c r="G108" s="525"/>
      <c r="H108" s="472"/>
      <c r="J108" s="522" t="s">
        <v>440</v>
      </c>
    </row>
    <row r="109" customFormat="false" ht="9.75" hidden="false" customHeight="true" outlineLevel="0" collapsed="false">
      <c r="A109" s="522" t="str">
        <f aca="false">'12.lan'!D426</f>
        <v>IMN Isle of Man</v>
      </c>
      <c r="B109" s="522" t="s">
        <v>441</v>
      </c>
      <c r="C109" s="525" t="n">
        <f aca="false">VLOOKUP(B109,'12.ppp data'!$C$3:$J$273,7,FALSE())</f>
        <v>1.93286164519776</v>
      </c>
      <c r="D109" s="525" t="str">
        <f aca="false">IF(VLOOKUP(B109,'12.ppp data'!$C$3:$J$273,8,FALSE())="est","est","-")</f>
        <v>est</v>
      </c>
      <c r="E109" s="522" t="s">
        <v>272</v>
      </c>
      <c r="F109" s="525" t="n">
        <v>2</v>
      </c>
      <c r="G109" s="525" t="s">
        <v>263</v>
      </c>
      <c r="H109" s="472"/>
      <c r="J109" s="522" t="s">
        <v>442</v>
      </c>
    </row>
    <row r="110" customFormat="false" ht="9.75" hidden="false" customHeight="true" outlineLevel="0" collapsed="false">
      <c r="A110" s="522" t="str">
        <f aca="false">'12.lan'!D427</f>
        <v>IND India</v>
      </c>
      <c r="B110" s="522" t="s">
        <v>443</v>
      </c>
      <c r="C110" s="525" t="n">
        <f aca="false">VLOOKUP(B110,'12.ppp data'!$C$3:$J$273,7,FALSE())</f>
        <v>4.14410163958857</v>
      </c>
      <c r="D110" s="525" t="str">
        <f aca="false">IF(VLOOKUP(B110,'12.ppp data'!$C$3:$J$273,8,FALSE())="est","est","-")</f>
        <v>-</v>
      </c>
      <c r="E110" s="522" t="s">
        <v>266</v>
      </c>
      <c r="F110" s="525" t="n">
        <v>5</v>
      </c>
      <c r="G110" s="525"/>
      <c r="H110" s="472"/>
      <c r="J110" s="522" t="s">
        <v>444</v>
      </c>
    </row>
    <row r="111" customFormat="false" ht="9.75" hidden="false" customHeight="true" outlineLevel="0" collapsed="false">
      <c r="A111" s="522" t="str">
        <f aca="false">'12.lan'!D428</f>
        <v>IRL Ireland</v>
      </c>
      <c r="B111" s="522" t="s">
        <v>445</v>
      </c>
      <c r="C111" s="525" t="n">
        <f aca="false">VLOOKUP(B111,'12.ppp data'!$C$3:$J$273,7,FALSE())</f>
        <v>1.2402454693833</v>
      </c>
      <c r="D111" s="525" t="str">
        <f aca="false">IF(VLOOKUP(B111,'12.ppp data'!$C$3:$J$273,8,FALSE())="est","est","-")</f>
        <v>-</v>
      </c>
      <c r="E111" s="522" t="s">
        <v>272</v>
      </c>
      <c r="F111" s="525" t="n">
        <v>2</v>
      </c>
      <c r="G111" s="525"/>
      <c r="H111" s="472"/>
      <c r="J111" s="522" t="s">
        <v>446</v>
      </c>
    </row>
    <row r="112" customFormat="false" ht="9.75" hidden="false" customHeight="true" outlineLevel="0" collapsed="false">
      <c r="A112" s="522" t="str">
        <f aca="false">'12.lan'!D429</f>
        <v>IRN Iran, Islamic Republic of</v>
      </c>
      <c r="B112" s="522" t="s">
        <v>447</v>
      </c>
      <c r="C112" s="525" t="n">
        <f aca="false">VLOOKUP(B112,'12.ppp data'!$C$3:$J$273,7,FALSE())</f>
        <v>4.2651915869607</v>
      </c>
      <c r="D112" s="525" t="str">
        <f aca="false">IF(VLOOKUP(B112,'12.ppp data'!$C$3:$J$273,8,FALSE())="est","est","-")</f>
        <v>-</v>
      </c>
      <c r="E112" s="522" t="s">
        <v>266</v>
      </c>
      <c r="F112" s="525" t="n">
        <v>4</v>
      </c>
      <c r="G112" s="525"/>
      <c r="H112" s="472"/>
      <c r="J112" s="522" t="s">
        <v>448</v>
      </c>
    </row>
    <row r="113" customFormat="false" ht="9.75" hidden="false" customHeight="true" outlineLevel="0" collapsed="false">
      <c r="A113" s="522" t="str">
        <f aca="false">'12.lan'!D430</f>
        <v>IRQ Iraq</v>
      </c>
      <c r="B113" s="522" t="s">
        <v>449</v>
      </c>
      <c r="C113" s="525" t="n">
        <f aca="false">VLOOKUP(B113,'12.ppp data'!$C$3:$J$273,7,FALSE())</f>
        <v>3.67598777141843</v>
      </c>
      <c r="D113" s="525" t="str">
        <f aca="false">IF(VLOOKUP(B113,'12.ppp data'!$C$3:$J$273,8,FALSE())="est","est","-")</f>
        <v>-</v>
      </c>
      <c r="E113" s="522" t="s">
        <v>266</v>
      </c>
      <c r="F113" s="525" t="n">
        <v>4</v>
      </c>
      <c r="G113" s="525"/>
      <c r="H113" s="472"/>
      <c r="I113" s="526"/>
      <c r="J113" s="522" t="s">
        <v>450</v>
      </c>
    </row>
    <row r="114" customFormat="false" ht="9.75" hidden="false" customHeight="true" outlineLevel="0" collapsed="false">
      <c r="A114" s="522" t="str">
        <f aca="false">'12.lan'!D431</f>
        <v>ISL Iceland</v>
      </c>
      <c r="B114" s="522" t="s">
        <v>451</v>
      </c>
      <c r="C114" s="525" t="n">
        <f aca="false">VLOOKUP(B114,'12.ppp data'!$C$3:$J$273,7,FALSE())</f>
        <v>0.859219151517723</v>
      </c>
      <c r="D114" s="525" t="str">
        <f aca="false">IF(VLOOKUP(B114,'12.ppp data'!$C$3:$J$273,8,FALSE())="est","est","-")</f>
        <v>-</v>
      </c>
      <c r="E114" s="522" t="s">
        <v>272</v>
      </c>
      <c r="F114" s="525" t="n">
        <v>1</v>
      </c>
      <c r="G114" s="525"/>
      <c r="H114" s="472"/>
      <c r="J114" s="522" t="s">
        <v>452</v>
      </c>
    </row>
    <row r="115" customFormat="false" ht="9.75" hidden="false" customHeight="true" outlineLevel="0" collapsed="false">
      <c r="A115" s="522" t="str">
        <f aca="false">'12.lan'!D432</f>
        <v>ISR Israel</v>
      </c>
      <c r="B115" s="522" t="s">
        <v>453</v>
      </c>
      <c r="C115" s="525" t="n">
        <f aca="false">VLOOKUP(B115,'12.ppp data'!$C$3:$J$273,7,FALSE())</f>
        <v>1.07621430452531</v>
      </c>
      <c r="D115" s="525" t="str">
        <f aca="false">IF(VLOOKUP(B115,'12.ppp data'!$C$3:$J$273,8,FALSE())="est","est","-")</f>
        <v>-</v>
      </c>
      <c r="E115" s="522" t="s">
        <v>266</v>
      </c>
      <c r="F115" s="525" t="n">
        <v>3</v>
      </c>
      <c r="G115" s="525"/>
      <c r="H115" s="472"/>
      <c r="J115" s="522" t="s">
        <v>454</v>
      </c>
    </row>
    <row r="116" customFormat="false" ht="9.75" hidden="false" customHeight="true" outlineLevel="0" collapsed="false">
      <c r="A116" s="522" t="str">
        <f aca="false">'12.lan'!D433</f>
        <v>ITA Italy</v>
      </c>
      <c r="B116" s="522" t="s">
        <v>455</v>
      </c>
      <c r="C116" s="525" t="n">
        <f aca="false">VLOOKUP(B116,'12.ppp data'!$C$3:$J$273,7,FALSE())</f>
        <v>1.40423799025459</v>
      </c>
      <c r="D116" s="525" t="str">
        <f aca="false">IF(VLOOKUP(B116,'12.ppp data'!$C$3:$J$273,8,FALSE())="est","est","-")</f>
        <v>-</v>
      </c>
      <c r="E116" s="522" t="s">
        <v>272</v>
      </c>
      <c r="F116" s="525" t="n">
        <v>1</v>
      </c>
      <c r="G116" s="525"/>
      <c r="H116" s="472"/>
      <c r="J116" s="522" t="s">
        <v>456</v>
      </c>
    </row>
    <row r="117" customFormat="false" ht="9.75" hidden="false" customHeight="true" outlineLevel="0" collapsed="false">
      <c r="A117" s="522" t="str">
        <f aca="false">'12.lan'!D434</f>
        <v>JAM Jamaica</v>
      </c>
      <c r="B117" s="522" t="s">
        <v>457</v>
      </c>
      <c r="C117" s="525" t="n">
        <f aca="false">VLOOKUP(B117,'12.ppp data'!$C$3:$J$273,7,FALSE())</f>
        <v>1.97169594036924</v>
      </c>
      <c r="D117" s="525" t="str">
        <f aca="false">IF(VLOOKUP(B117,'12.ppp data'!$C$3:$J$273,8,FALSE())="est","est","-")</f>
        <v>-</v>
      </c>
      <c r="E117" s="522" t="s">
        <v>262</v>
      </c>
      <c r="F117" s="525" t="n">
        <v>3.42105263157895</v>
      </c>
      <c r="G117" s="525" t="s">
        <v>263</v>
      </c>
      <c r="H117" s="472"/>
      <c r="J117" s="522" t="s">
        <v>458</v>
      </c>
    </row>
    <row r="118" customFormat="false" ht="9.75" hidden="false" customHeight="true" outlineLevel="0" collapsed="false">
      <c r="A118" s="522" t="str">
        <f aca="false">'12.lan'!D435</f>
        <v>JOR Jordan</v>
      </c>
      <c r="B118" s="522" t="s">
        <v>459</v>
      </c>
      <c r="C118" s="525" t="n">
        <f aca="false">VLOOKUP(B118,'12.ppp data'!$C$3:$J$273,7,FALSE())</f>
        <v>2.49255306504953</v>
      </c>
      <c r="D118" s="525" t="str">
        <f aca="false">IF(VLOOKUP(B118,'12.ppp data'!$C$3:$J$273,8,FALSE())="est","est","-")</f>
        <v>-</v>
      </c>
      <c r="E118" s="522" t="s">
        <v>266</v>
      </c>
      <c r="F118" s="525" t="n">
        <v>4</v>
      </c>
      <c r="G118" s="525"/>
      <c r="H118" s="472"/>
      <c r="J118" s="522" t="s">
        <v>460</v>
      </c>
    </row>
    <row r="119" customFormat="false" ht="9.75" hidden="false" customHeight="true" outlineLevel="0" collapsed="false">
      <c r="A119" s="522" t="str">
        <f aca="false">'12.lan'!D436</f>
        <v>JPN Japan</v>
      </c>
      <c r="B119" s="522" t="s">
        <v>461</v>
      </c>
      <c r="C119" s="525" t="n">
        <f aca="false">VLOOKUP(B119,'12.ppp data'!$C$3:$J$273,7,FALSE())</f>
        <v>1.28940812010188</v>
      </c>
      <c r="D119" s="525" t="str">
        <f aca="false">IF(VLOOKUP(B119,'12.ppp data'!$C$3:$J$273,8,FALSE())="est","est","-")</f>
        <v>-</v>
      </c>
      <c r="E119" s="522" t="s">
        <v>266</v>
      </c>
      <c r="F119" s="525" t="n">
        <v>2</v>
      </c>
      <c r="G119" s="525"/>
      <c r="H119" s="472"/>
      <c r="J119" s="522" t="s">
        <v>462</v>
      </c>
    </row>
    <row r="120" customFormat="false" ht="9.75" hidden="false" customHeight="true" outlineLevel="0" collapsed="false">
      <c r="A120" s="522" t="str">
        <f aca="false">'12.lan'!D437</f>
        <v>KAZ Kazakhstan</v>
      </c>
      <c r="B120" s="522" t="s">
        <v>463</v>
      </c>
      <c r="C120" s="525" t="n">
        <f aca="false">VLOOKUP(B120,'12.ppp data'!$C$3:$J$273,7,FALSE())</f>
        <v>3.35883151819116</v>
      </c>
      <c r="D120" s="525" t="str">
        <f aca="false">IF(VLOOKUP(B120,'12.ppp data'!$C$3:$J$273,8,FALSE())="est","est","-")</f>
        <v>-</v>
      </c>
      <c r="E120" s="522" t="s">
        <v>266</v>
      </c>
      <c r="F120" s="525" t="n">
        <v>4.17857142857143</v>
      </c>
      <c r="G120" s="525" t="s">
        <v>263</v>
      </c>
      <c r="H120" s="472"/>
      <c r="J120" s="522" t="s">
        <v>464</v>
      </c>
    </row>
    <row r="121" customFormat="false" ht="9.75" hidden="false" customHeight="true" outlineLevel="0" collapsed="false">
      <c r="A121" s="522" t="str">
        <f aca="false">'12.lan'!D438</f>
        <v>KEN Kenya</v>
      </c>
      <c r="B121" s="522" t="s">
        <v>465</v>
      </c>
      <c r="C121" s="525" t="n">
        <f aca="false">VLOOKUP(B121,'12.ppp data'!$C$3:$J$273,7,FALSE())</f>
        <v>2.42236258173826</v>
      </c>
      <c r="D121" s="525" t="str">
        <f aca="false">IF(VLOOKUP(B121,'12.ppp data'!$C$3:$J$273,8,FALSE())="est","est","-")</f>
        <v>-</v>
      </c>
      <c r="E121" s="522" t="s">
        <v>269</v>
      </c>
      <c r="F121" s="525" t="n">
        <v>4</v>
      </c>
      <c r="G121" s="525"/>
      <c r="H121" s="472"/>
      <c r="J121" s="522" t="s">
        <v>466</v>
      </c>
    </row>
    <row r="122" customFormat="false" ht="9.75" hidden="false" customHeight="true" outlineLevel="0" collapsed="false">
      <c r="A122" s="522" t="str">
        <f aca="false">'12.lan'!D439</f>
        <v>KGZ Kyrgyzstan</v>
      </c>
      <c r="B122" s="522" t="s">
        <v>467</v>
      </c>
      <c r="C122" s="525" t="n">
        <f aca="false">VLOOKUP(B122,'12.ppp data'!$C$3:$J$273,7,FALSE())</f>
        <v>3.44949487120571</v>
      </c>
      <c r="D122" s="525" t="str">
        <f aca="false">IF(VLOOKUP(B122,'12.ppp data'!$C$3:$J$273,8,FALSE())="est","est","-")</f>
        <v>-</v>
      </c>
      <c r="E122" s="522" t="s">
        <v>266</v>
      </c>
      <c r="F122" s="525" t="n">
        <v>4.17857142857143</v>
      </c>
      <c r="G122" s="525" t="s">
        <v>263</v>
      </c>
      <c r="H122" s="472"/>
      <c r="J122" s="522" t="s">
        <v>468</v>
      </c>
    </row>
    <row r="123" customFormat="false" ht="9.75" hidden="false" customHeight="true" outlineLevel="0" collapsed="false">
      <c r="A123" s="522" t="str">
        <f aca="false">'12.lan'!D440</f>
        <v>KHM Cambodia</v>
      </c>
      <c r="B123" s="522" t="s">
        <v>469</v>
      </c>
      <c r="C123" s="525" t="n">
        <f aca="false">VLOOKUP(B123,'12.ppp data'!$C$3:$J$273,7,FALSE())</f>
        <v>3.20980973331692</v>
      </c>
      <c r="D123" s="525" t="str">
        <f aca="false">IF(VLOOKUP(B123,'12.ppp data'!$C$3:$J$273,8,FALSE())="est","est","-")</f>
        <v>-</v>
      </c>
      <c r="E123" s="522" t="s">
        <v>266</v>
      </c>
      <c r="F123" s="525" t="n">
        <v>5</v>
      </c>
      <c r="G123" s="525"/>
      <c r="H123" s="472"/>
      <c r="J123" s="522" t="s">
        <v>470</v>
      </c>
    </row>
    <row r="124" customFormat="false" ht="9.75" hidden="false" customHeight="true" outlineLevel="0" collapsed="false">
      <c r="A124" s="522" t="str">
        <f aca="false">'12.lan'!D441</f>
        <v>KIR Kiribati</v>
      </c>
      <c r="B124" s="522" t="s">
        <v>471</v>
      </c>
      <c r="C124" s="525" t="n">
        <f aca="false">VLOOKUP(B124,'12.ppp data'!$C$3:$J$273,7,FALSE())</f>
        <v>1.45788861443993</v>
      </c>
      <c r="D124" s="525" t="str">
        <f aca="false">IF(VLOOKUP(B124,'12.ppp data'!$C$3:$J$273,8,FALSE())="est","est","-")</f>
        <v>-</v>
      </c>
      <c r="E124" s="522" t="s">
        <v>283</v>
      </c>
      <c r="F124" s="525" t="n">
        <v>3</v>
      </c>
      <c r="G124" s="525" t="s">
        <v>263</v>
      </c>
      <c r="H124" s="472"/>
      <c r="J124" s="522" t="s">
        <v>472</v>
      </c>
    </row>
    <row r="125" customFormat="false" ht="9.75" hidden="false" customHeight="true" outlineLevel="0" collapsed="false">
      <c r="A125" s="522" t="str">
        <f aca="false">'12.lan'!D442</f>
        <v>KNA Saint Kitts and Nevis</v>
      </c>
      <c r="B125" s="522" t="s">
        <v>473</v>
      </c>
      <c r="C125" s="525" t="n">
        <f aca="false">VLOOKUP(B125,'12.ppp data'!$C$3:$J$273,7,FALSE())</f>
        <v>1.78885652779978</v>
      </c>
      <c r="D125" s="525" t="str">
        <f aca="false">IF(VLOOKUP(B125,'12.ppp data'!$C$3:$J$273,8,FALSE())="est","est","-")</f>
        <v>-</v>
      </c>
      <c r="E125" s="522" t="s">
        <v>262</v>
      </c>
      <c r="F125" s="525" t="n">
        <v>3.42105263157895</v>
      </c>
      <c r="G125" s="525" t="s">
        <v>263</v>
      </c>
      <c r="H125" s="472"/>
      <c r="J125" s="522" t="s">
        <v>474</v>
      </c>
    </row>
    <row r="126" customFormat="false" ht="9.75" hidden="false" customHeight="true" outlineLevel="0" collapsed="false">
      <c r="A126" s="522" t="str">
        <f aca="false">'12.lan'!D443</f>
        <v>KOR Korea, Republic of</v>
      </c>
      <c r="B126" s="522" t="s">
        <v>475</v>
      </c>
      <c r="C126" s="525" t="n">
        <f aca="false">VLOOKUP(B126,'12.ppp data'!$C$3:$J$273,7,FALSE())</f>
        <v>1.45065185695947</v>
      </c>
      <c r="D126" s="525" t="str">
        <f aca="false">IF(VLOOKUP(B126,'12.ppp data'!$C$3:$J$273,8,FALSE())="est","est","-")</f>
        <v>-</v>
      </c>
      <c r="E126" s="522" t="s">
        <v>266</v>
      </c>
      <c r="F126" s="525" t="n">
        <v>5</v>
      </c>
      <c r="G126" s="525"/>
      <c r="H126" s="472"/>
      <c r="J126" s="522" t="s">
        <v>476</v>
      </c>
    </row>
    <row r="127" customFormat="false" ht="9.75" hidden="false" customHeight="true" outlineLevel="0" collapsed="false">
      <c r="A127" s="522" t="str">
        <f aca="false">'12.lan'!D444</f>
        <v>KWT Kuwait</v>
      </c>
      <c r="B127" s="522" t="s">
        <v>477</v>
      </c>
      <c r="C127" s="525" t="n">
        <f aca="false">VLOOKUP(B127,'12.ppp data'!$C$3:$J$273,7,FALSE())</f>
        <v>2.79361619205596</v>
      </c>
      <c r="D127" s="525" t="str">
        <f aca="false">IF(VLOOKUP(B127,'12.ppp data'!$C$3:$J$273,8,FALSE())="est","est","-")</f>
        <v>-</v>
      </c>
      <c r="E127" s="522" t="s">
        <v>266</v>
      </c>
      <c r="F127" s="525" t="n">
        <v>4.17857142857143</v>
      </c>
      <c r="G127" s="525" t="s">
        <v>263</v>
      </c>
      <c r="H127" s="472"/>
      <c r="J127" s="522" t="s">
        <v>478</v>
      </c>
    </row>
    <row r="128" customFormat="false" ht="9.75" hidden="false" customHeight="true" outlineLevel="0" collapsed="false">
      <c r="A128" s="522" t="str">
        <f aca="false">'12.lan'!D445</f>
        <v>LAO Lao People's Democratic Republic</v>
      </c>
      <c r="B128" s="522" t="s">
        <v>479</v>
      </c>
      <c r="C128" s="525" t="n">
        <f aca="false">VLOOKUP(B128,'12.ppp data'!$C$3:$J$273,7,FALSE())</f>
        <v>3.13226203814786</v>
      </c>
      <c r="D128" s="525" t="str">
        <f aca="false">IF(VLOOKUP(B128,'12.ppp data'!$C$3:$J$273,8,FALSE())="est","est","-")</f>
        <v>-</v>
      </c>
      <c r="E128" s="522" t="s">
        <v>266</v>
      </c>
      <c r="F128" s="525" t="n">
        <v>4.17857142857143</v>
      </c>
      <c r="G128" s="525" t="s">
        <v>263</v>
      </c>
      <c r="H128" s="472"/>
      <c r="J128" s="522" t="s">
        <v>480</v>
      </c>
    </row>
    <row r="129" customFormat="false" ht="9.75" hidden="false" customHeight="true" outlineLevel="0" collapsed="false">
      <c r="A129" s="522" t="str">
        <f aca="false">'12.lan'!D446</f>
        <v>LBN Lebanon</v>
      </c>
      <c r="B129" s="522" t="s">
        <v>481</v>
      </c>
      <c r="C129" s="525" t="n">
        <f aca="false">VLOOKUP(B129,'12.ppp data'!$C$3:$J$273,7,FALSE())</f>
        <v>1.91672689697567</v>
      </c>
      <c r="D129" s="525" t="str">
        <f aca="false">IF(VLOOKUP(B129,'12.ppp data'!$C$3:$J$273,8,FALSE())="est","est","-")</f>
        <v>-</v>
      </c>
      <c r="E129" s="522" t="s">
        <v>266</v>
      </c>
      <c r="F129" s="525" t="n">
        <v>4</v>
      </c>
      <c r="G129" s="525"/>
      <c r="H129" s="472"/>
      <c r="J129" s="522" t="s">
        <v>482</v>
      </c>
    </row>
    <row r="130" customFormat="false" ht="9.75" hidden="false" customHeight="true" outlineLevel="0" collapsed="false">
      <c r="A130" s="522" t="str">
        <f aca="false">'12.lan'!D447</f>
        <v>LBR Liberia</v>
      </c>
      <c r="B130" s="522" t="s">
        <v>483</v>
      </c>
      <c r="C130" s="525" t="n">
        <f aca="false">VLOOKUP(B130,'12.ppp data'!$C$3:$J$273,7,FALSE())</f>
        <v>3.03256163278312</v>
      </c>
      <c r="D130" s="525" t="str">
        <f aca="false">IF(VLOOKUP(B130,'12.ppp data'!$C$3:$J$273,8,FALSE())="est","est","-")</f>
        <v>est</v>
      </c>
      <c r="E130" s="522" t="s">
        <v>269</v>
      </c>
      <c r="F130" s="525" t="n">
        <v>3.70833333333333</v>
      </c>
      <c r="G130" s="525" t="s">
        <v>263</v>
      </c>
      <c r="H130" s="472"/>
      <c r="J130" s="522" t="s">
        <v>484</v>
      </c>
    </row>
    <row r="131" customFormat="false" ht="9.75" hidden="false" customHeight="true" outlineLevel="0" collapsed="false">
      <c r="A131" s="522" t="str">
        <f aca="false">'12.lan'!D448</f>
        <v>LBY Libya</v>
      </c>
      <c r="B131" s="522" t="s">
        <v>485</v>
      </c>
      <c r="C131" s="525" t="n">
        <f aca="false">VLOOKUP(B131,'12.ppp data'!$C$3:$J$273,7,FALSE())</f>
        <v>2.74293617699787</v>
      </c>
      <c r="D131" s="525" t="str">
        <f aca="false">IF(VLOOKUP(B131,'12.ppp data'!$C$3:$J$273,8,FALSE())="est","est","-")</f>
        <v>-</v>
      </c>
      <c r="E131" s="522" t="s">
        <v>269</v>
      </c>
      <c r="F131" s="525" t="n">
        <v>6</v>
      </c>
      <c r="G131" s="525"/>
      <c r="H131" s="472"/>
      <c r="J131" s="522" t="s">
        <v>486</v>
      </c>
    </row>
    <row r="132" customFormat="false" ht="9.75" hidden="false" customHeight="true" outlineLevel="0" collapsed="false">
      <c r="A132" s="522" t="str">
        <f aca="false">'12.lan'!D449</f>
        <v>LCA Saint Lucia</v>
      </c>
      <c r="B132" s="522" t="s">
        <v>487</v>
      </c>
      <c r="C132" s="525" t="n">
        <f aca="false">VLOOKUP(B132,'12.ppp data'!$C$3:$J$273,7,FALSE())</f>
        <v>1.67745760134086</v>
      </c>
      <c r="D132" s="525" t="str">
        <f aca="false">IF(VLOOKUP(B132,'12.ppp data'!$C$3:$J$273,8,FALSE())="est","est","-")</f>
        <v>-</v>
      </c>
      <c r="E132" s="522" t="s">
        <v>262</v>
      </c>
      <c r="F132" s="525" t="n">
        <v>3.42105263157895</v>
      </c>
      <c r="G132" s="525" t="s">
        <v>263</v>
      </c>
      <c r="H132" s="472"/>
      <c r="J132" s="522" t="s">
        <v>488</v>
      </c>
    </row>
    <row r="133" customFormat="false" ht="9.75" hidden="false" customHeight="true" outlineLevel="0" collapsed="false">
      <c r="A133" s="522" t="str">
        <f aca="false">'12.lan'!D450</f>
        <v>LIE Liechtenstein</v>
      </c>
      <c r="B133" s="522" t="s">
        <v>489</v>
      </c>
      <c r="C133" s="525" t="n">
        <f aca="false">VLOOKUP(B133,'12.ppp data'!$C$3:$J$273,7,FALSE())</f>
        <v>1.93286164519776</v>
      </c>
      <c r="D133" s="525" t="str">
        <f aca="false">IF(VLOOKUP(B133,'12.ppp data'!$C$3:$J$273,8,FALSE())="est","est","-")</f>
        <v>est</v>
      </c>
      <c r="E133" s="522" t="s">
        <v>272</v>
      </c>
      <c r="F133" s="525" t="n">
        <v>2</v>
      </c>
      <c r="G133" s="525" t="s">
        <v>263</v>
      </c>
      <c r="H133" s="472"/>
      <c r="J133" s="522" t="s">
        <v>490</v>
      </c>
    </row>
    <row r="134" customFormat="false" ht="9.75" hidden="false" customHeight="true" outlineLevel="0" collapsed="false">
      <c r="A134" s="522" t="str">
        <f aca="false">'12.lan'!D451</f>
        <v>LKA Sri Lanka</v>
      </c>
      <c r="B134" s="522" t="s">
        <v>491</v>
      </c>
      <c r="C134" s="525" t="n">
        <f aca="false">VLOOKUP(B134,'12.ppp data'!$C$3:$J$273,7,FALSE())</f>
        <v>3.51536133620754</v>
      </c>
      <c r="D134" s="525" t="str">
        <f aca="false">IF(VLOOKUP(B134,'12.ppp data'!$C$3:$J$273,8,FALSE())="est","est","-")</f>
        <v>-</v>
      </c>
      <c r="E134" s="522" t="s">
        <v>266</v>
      </c>
      <c r="F134" s="525" t="n">
        <v>3</v>
      </c>
      <c r="G134" s="525"/>
      <c r="J134" s="522" t="s">
        <v>492</v>
      </c>
    </row>
    <row r="135" customFormat="false" ht="9.75" hidden="false" customHeight="true" outlineLevel="0" collapsed="false">
      <c r="A135" s="522" t="str">
        <f aca="false">'12.lan'!D452</f>
        <v>LSO Lesotho</v>
      </c>
      <c r="B135" s="522" t="s">
        <v>493</v>
      </c>
      <c r="C135" s="525" t="n">
        <f aca="false">VLOOKUP(B135,'12.ppp data'!$C$3:$J$273,7,FALSE())</f>
        <v>2.98381317338922</v>
      </c>
      <c r="D135" s="525" t="str">
        <f aca="false">IF(VLOOKUP(B135,'12.ppp data'!$C$3:$J$273,8,FALSE())="est","est","-")</f>
        <v>-</v>
      </c>
      <c r="E135" s="522" t="s">
        <v>269</v>
      </c>
      <c r="F135" s="525" t="n">
        <v>3.70833333333333</v>
      </c>
      <c r="G135" s="525" t="s">
        <v>263</v>
      </c>
      <c r="J135" s="522" t="s">
        <v>494</v>
      </c>
    </row>
    <row r="136" customFormat="false" ht="9.75" hidden="false" customHeight="true" outlineLevel="0" collapsed="false">
      <c r="A136" s="522" t="str">
        <f aca="false">'12.lan'!D453</f>
        <v>LTU Lithuania</v>
      </c>
      <c r="B136" s="522" t="s">
        <v>495</v>
      </c>
      <c r="C136" s="525" t="n">
        <f aca="false">VLOOKUP(B136,'12.ppp data'!$C$3:$J$273,7,FALSE())</f>
        <v>2.16806176709918</v>
      </c>
      <c r="D136" s="525" t="str">
        <f aca="false">IF(VLOOKUP(B136,'12.ppp data'!$C$3:$J$273,8,FALSE())="est","est","-")</f>
        <v>-</v>
      </c>
      <c r="E136" s="522" t="s">
        <v>272</v>
      </c>
      <c r="F136" s="525" t="n">
        <v>1</v>
      </c>
      <c r="G136" s="525"/>
      <c r="J136" s="522" t="s">
        <v>496</v>
      </c>
    </row>
    <row r="137" customFormat="false" ht="12.75" hidden="false" customHeight="true" outlineLevel="0" collapsed="false">
      <c r="A137" s="522" t="str">
        <f aca="false">'12.lan'!D454</f>
        <v>LUX Luxembourg</v>
      </c>
      <c r="B137" s="522" t="s">
        <v>497</v>
      </c>
      <c r="C137" s="525" t="n">
        <f aca="false">VLOOKUP(B137,'12.ppp data'!$C$3:$J$273,7,FALSE())</f>
        <v>1.12211406289449</v>
      </c>
      <c r="D137" s="525" t="str">
        <f aca="false">IF(VLOOKUP(B137,'12.ppp data'!$C$3:$J$273,8,FALSE())="est","est","-")</f>
        <v>-</v>
      </c>
      <c r="E137" s="522" t="s">
        <v>272</v>
      </c>
      <c r="F137" s="525" t="n">
        <v>2</v>
      </c>
      <c r="G137" s="525" t="s">
        <v>263</v>
      </c>
      <c r="H137" s="527"/>
      <c r="I137" s="527"/>
      <c r="J137" s="522" t="s">
        <v>498</v>
      </c>
    </row>
    <row r="138" customFormat="false" ht="9.75" hidden="false" customHeight="true" outlineLevel="0" collapsed="false">
      <c r="A138" s="522" t="str">
        <f aca="false">'12.lan'!D455</f>
        <v>LVA Latvia</v>
      </c>
      <c r="B138" s="522" t="s">
        <v>499</v>
      </c>
      <c r="C138" s="525" t="n">
        <f aca="false">VLOOKUP(B138,'12.ppp data'!$C$3:$J$273,7,FALSE())</f>
        <v>1.99433968559289</v>
      </c>
      <c r="D138" s="525" t="str">
        <f aca="false">IF(VLOOKUP(B138,'12.ppp data'!$C$3:$J$273,8,FALSE())="est","est","-")</f>
        <v>-</v>
      </c>
      <c r="E138" s="522" t="s">
        <v>272</v>
      </c>
      <c r="F138" s="525" t="n">
        <v>2</v>
      </c>
      <c r="G138" s="525"/>
      <c r="H138" s="472"/>
      <c r="J138" s="522" t="s">
        <v>500</v>
      </c>
    </row>
    <row r="139" customFormat="false" ht="9.75" hidden="false" customHeight="true" outlineLevel="0" collapsed="false">
      <c r="A139" s="522" t="str">
        <f aca="false">'12.lan'!D456</f>
        <v>MAC Macao</v>
      </c>
      <c r="B139" s="522" t="s">
        <v>501</v>
      </c>
      <c r="C139" s="525" t="n">
        <f aca="false">VLOOKUP(B139,'12.ppp data'!$C$3:$J$273,7,FALSE())</f>
        <v>1.57323844620917</v>
      </c>
      <c r="D139" s="525" t="str">
        <f aca="false">IF(VLOOKUP(B139,'12.ppp data'!$C$3:$J$273,8,FALSE())="est","est","-")</f>
        <v>-</v>
      </c>
      <c r="E139" s="522" t="s">
        <v>266</v>
      </c>
      <c r="F139" s="525" t="n">
        <v>4.17857142857143</v>
      </c>
      <c r="G139" s="525" t="s">
        <v>263</v>
      </c>
      <c r="H139" s="472"/>
      <c r="J139" s="522" t="s">
        <v>502</v>
      </c>
    </row>
    <row r="140" customFormat="false" ht="9.75" hidden="false" customHeight="true" outlineLevel="0" collapsed="false">
      <c r="A140" s="522" t="str">
        <f aca="false">'12.lan'!D457</f>
        <v>MAF Saint Martin (French part)</v>
      </c>
      <c r="B140" s="522" t="s">
        <v>503</v>
      </c>
      <c r="C140" s="525" t="n">
        <f aca="false">VLOOKUP(B140,'12.ppp data'!$C$3:$J$273,7,FALSE())</f>
        <v>1.96289944979353</v>
      </c>
      <c r="D140" s="525" t="str">
        <f aca="false">IF(VLOOKUP(B140,'12.ppp data'!$C$3:$J$273,8,FALSE())="est","est","-")</f>
        <v>est</v>
      </c>
      <c r="E140" s="522" t="s">
        <v>262</v>
      </c>
      <c r="F140" s="525" t="n">
        <v>3.42105263157895</v>
      </c>
      <c r="G140" s="525" t="s">
        <v>263</v>
      </c>
      <c r="H140" s="472"/>
      <c r="J140" s="522" t="s">
        <v>504</v>
      </c>
    </row>
    <row r="141" customFormat="false" ht="9.75" hidden="false" customHeight="true" outlineLevel="0" collapsed="false">
      <c r="A141" s="522" t="str">
        <f aca="false">'12.lan'!D458</f>
        <v>MAR Morocco</v>
      </c>
      <c r="B141" s="522" t="s">
        <v>505</v>
      </c>
      <c r="C141" s="525" t="n">
        <f aca="false">VLOOKUP(B141,'12.ppp data'!$C$3:$J$273,7,FALSE())</f>
        <v>3.050702034376</v>
      </c>
      <c r="D141" s="525" t="str">
        <f aca="false">IF(VLOOKUP(B141,'12.ppp data'!$C$3:$J$273,8,FALSE())="est","est","-")</f>
        <v>-</v>
      </c>
      <c r="E141" s="522" t="s">
        <v>269</v>
      </c>
      <c r="F141" s="525" t="n">
        <v>4</v>
      </c>
      <c r="G141" s="525"/>
      <c r="H141" s="472"/>
      <c r="J141" s="522" t="s">
        <v>506</v>
      </c>
    </row>
    <row r="142" customFormat="false" ht="9.75" hidden="false" customHeight="true" outlineLevel="0" collapsed="false">
      <c r="A142" s="522" t="str">
        <f aca="false">'12.lan'!D459</f>
        <v>MCO Monaco</v>
      </c>
      <c r="B142" s="522" t="s">
        <v>507</v>
      </c>
      <c r="C142" s="525" t="n">
        <f aca="false">VLOOKUP(B142,'12.ppp data'!$C$3:$J$273,7,FALSE())</f>
        <v>1.93286164519776</v>
      </c>
      <c r="D142" s="525" t="str">
        <f aca="false">IF(VLOOKUP(B142,'12.ppp data'!$C$3:$J$273,8,FALSE())="est","est","-")</f>
        <v>est</v>
      </c>
      <c r="E142" s="522" t="s">
        <v>272</v>
      </c>
      <c r="F142" s="525" t="n">
        <v>2</v>
      </c>
      <c r="G142" s="525" t="s">
        <v>263</v>
      </c>
      <c r="H142" s="472"/>
      <c r="J142" s="522" t="s">
        <v>508</v>
      </c>
    </row>
    <row r="143" customFormat="false" ht="9.75" hidden="false" customHeight="true" outlineLevel="0" collapsed="false">
      <c r="A143" s="522" t="str">
        <f aca="false">'12.lan'!D460</f>
        <v>MDA Moldova, Republic of</v>
      </c>
      <c r="B143" s="522" t="s">
        <v>509</v>
      </c>
      <c r="C143" s="525" t="n">
        <f aca="false">VLOOKUP(B143,'12.ppp data'!$C$3:$J$273,7,FALSE())</f>
        <v>2.76701051372199</v>
      </c>
      <c r="D143" s="525" t="str">
        <f aca="false">IF(VLOOKUP(B143,'12.ppp data'!$C$3:$J$273,8,FALSE())="est","est","-")</f>
        <v>-</v>
      </c>
      <c r="E143" s="522" t="s">
        <v>272</v>
      </c>
      <c r="F143" s="525" t="n">
        <v>2</v>
      </c>
      <c r="G143" s="525" t="s">
        <v>263</v>
      </c>
      <c r="H143" s="472"/>
      <c r="J143" s="522" t="s">
        <v>510</v>
      </c>
    </row>
    <row r="144" customFormat="false" ht="9.75" hidden="false" customHeight="true" outlineLevel="0" collapsed="false">
      <c r="A144" s="522" t="str">
        <f aca="false">'12.lan'!D461</f>
        <v>MDG Madagascar</v>
      </c>
      <c r="B144" s="522" t="s">
        <v>511</v>
      </c>
      <c r="C144" s="525" t="n">
        <f aca="false">VLOOKUP(B144,'12.ppp data'!$C$3:$J$273,7,FALSE())</f>
        <v>3.86377770315813</v>
      </c>
      <c r="D144" s="525" t="str">
        <f aca="false">IF(VLOOKUP(B144,'12.ppp data'!$C$3:$J$273,8,FALSE())="est","est","-")</f>
        <v>-</v>
      </c>
      <c r="E144" s="522" t="s">
        <v>269</v>
      </c>
      <c r="F144" s="525" t="n">
        <v>3.70833333333333</v>
      </c>
      <c r="G144" s="525" t="s">
        <v>263</v>
      </c>
      <c r="H144" s="472"/>
      <c r="J144" s="522" t="s">
        <v>512</v>
      </c>
    </row>
    <row r="145" customFormat="false" ht="9.75" hidden="false" customHeight="true" outlineLevel="0" collapsed="false">
      <c r="A145" s="522" t="str">
        <f aca="false">'12.lan'!D462</f>
        <v>MDV Maldives</v>
      </c>
      <c r="B145" s="522" t="s">
        <v>513</v>
      </c>
      <c r="C145" s="525" t="n">
        <f aca="false">VLOOKUP(B145,'12.ppp data'!$C$3:$J$273,7,FALSE())</f>
        <v>1.77113251397802</v>
      </c>
      <c r="D145" s="525" t="str">
        <f aca="false">IF(VLOOKUP(B145,'12.ppp data'!$C$3:$J$273,8,FALSE())="est","est","-")</f>
        <v>-</v>
      </c>
      <c r="E145" s="522" t="s">
        <v>266</v>
      </c>
      <c r="F145" s="525" t="n">
        <v>4.17857142857143</v>
      </c>
      <c r="G145" s="525" t="s">
        <v>263</v>
      </c>
      <c r="H145" s="472"/>
      <c r="J145" s="522" t="s">
        <v>514</v>
      </c>
    </row>
    <row r="146" customFormat="false" ht="9.75" hidden="false" customHeight="true" outlineLevel="0" collapsed="false">
      <c r="A146" s="522" t="str">
        <f aca="false">'12.lan'!D463</f>
        <v>MEX Mexico</v>
      </c>
      <c r="B146" s="522" t="s">
        <v>515</v>
      </c>
      <c r="C146" s="525" t="n">
        <f aca="false">VLOOKUP(B146,'12.ppp data'!$C$3:$J$273,7,FALSE())</f>
        <v>2.29945331128235</v>
      </c>
      <c r="D146" s="525" t="str">
        <f aca="false">IF(VLOOKUP(B146,'12.ppp data'!$C$3:$J$273,8,FALSE())="est","est","-")</f>
        <v>-</v>
      </c>
      <c r="E146" s="522" t="s">
        <v>262</v>
      </c>
      <c r="F146" s="525" t="n">
        <v>4</v>
      </c>
      <c r="G146" s="525"/>
      <c r="H146" s="472"/>
      <c r="J146" s="522" t="s">
        <v>516</v>
      </c>
    </row>
    <row r="147" customFormat="false" ht="9.75" hidden="false" customHeight="true" outlineLevel="0" collapsed="false">
      <c r="A147" s="522" t="str">
        <f aca="false">'12.lan'!D464</f>
        <v>MHL Marshall Islands</v>
      </c>
      <c r="B147" s="522" t="s">
        <v>517</v>
      </c>
      <c r="C147" s="525" t="n">
        <f aca="false">VLOOKUP(B147,'12.ppp data'!$C$3:$J$273,7,FALSE())</f>
        <v>1.26180337538196</v>
      </c>
      <c r="D147" s="525" t="str">
        <f aca="false">IF(VLOOKUP(B147,'12.ppp data'!$C$3:$J$273,8,FALSE())="est","est","-")</f>
        <v>-</v>
      </c>
      <c r="E147" s="522" t="s">
        <v>283</v>
      </c>
      <c r="F147" s="525" t="n">
        <v>3</v>
      </c>
      <c r="G147" s="525" t="s">
        <v>263</v>
      </c>
      <c r="H147" s="472"/>
      <c r="J147" s="522" t="s">
        <v>518</v>
      </c>
    </row>
    <row r="148" customFormat="false" ht="9.75" hidden="false" customHeight="true" outlineLevel="0" collapsed="false">
      <c r="A148" s="522" t="str">
        <f aca="false">'12.lan'!D465</f>
        <v>MKD Macedonia, The Former Yugoslav Republic of</v>
      </c>
      <c r="B148" s="522" t="s">
        <v>519</v>
      </c>
      <c r="C148" s="525" t="n">
        <f aca="false">VLOOKUP(B148,'12.ppp data'!$C$3:$J$273,7,FALSE())</f>
        <v>3.1366359337907</v>
      </c>
      <c r="D148" s="525" t="str">
        <f aca="false">IF(VLOOKUP(B148,'12.ppp data'!$C$3:$J$273,8,FALSE())="est","est","-")</f>
        <v>-</v>
      </c>
      <c r="E148" s="522" t="s">
        <v>272</v>
      </c>
      <c r="F148" s="525" t="n">
        <v>2</v>
      </c>
      <c r="G148" s="525" t="s">
        <v>263</v>
      </c>
      <c r="H148" s="472"/>
      <c r="J148" s="522" t="s">
        <v>520</v>
      </c>
    </row>
    <row r="149" customFormat="false" ht="9.75" hidden="false" customHeight="true" outlineLevel="0" collapsed="false">
      <c r="A149" s="522" t="str">
        <f aca="false">'12.lan'!D466</f>
        <v>MLI Mali</v>
      </c>
      <c r="B149" s="522" t="s">
        <v>521</v>
      </c>
      <c r="C149" s="525" t="n">
        <f aca="false">VLOOKUP(B149,'12.ppp data'!$C$3:$J$273,7,FALSE())</f>
        <v>3.02666970174571</v>
      </c>
      <c r="D149" s="525" t="str">
        <f aca="false">IF(VLOOKUP(B149,'12.ppp data'!$C$3:$J$273,8,FALSE())="est","est","-")</f>
        <v>-</v>
      </c>
      <c r="E149" s="522" t="s">
        <v>269</v>
      </c>
      <c r="F149" s="525" t="n">
        <v>3.70833333333333</v>
      </c>
      <c r="G149" s="525" t="s">
        <v>263</v>
      </c>
      <c r="H149" s="472"/>
      <c r="J149" s="522" t="s">
        <v>522</v>
      </c>
    </row>
    <row r="150" customFormat="false" ht="9.75" hidden="false" customHeight="true" outlineLevel="0" collapsed="false">
      <c r="A150" s="522" t="str">
        <f aca="false">'12.lan'!D467</f>
        <v>MLT Malta</v>
      </c>
      <c r="B150" s="522" t="s">
        <v>523</v>
      </c>
      <c r="C150" s="525" t="n">
        <f aca="false">VLOOKUP(B150,'12.ppp data'!$C$3:$J$273,7,FALSE())</f>
        <v>0.711088927927647</v>
      </c>
      <c r="D150" s="525" t="str">
        <f aca="false">IF(VLOOKUP(B150,'12.ppp data'!$C$3:$J$273,8,FALSE())="est","est","-")</f>
        <v>-</v>
      </c>
      <c r="E150" s="522" t="s">
        <v>272</v>
      </c>
      <c r="F150" s="525" t="n">
        <v>2</v>
      </c>
      <c r="G150" s="525" t="s">
        <v>263</v>
      </c>
      <c r="H150" s="472"/>
      <c r="J150" s="522" t="s">
        <v>524</v>
      </c>
    </row>
    <row r="151" customFormat="false" ht="9.75" hidden="false" customHeight="true" outlineLevel="0" collapsed="false">
      <c r="A151" s="522" t="str">
        <f aca="false">'12.lan'!D468</f>
        <v>MMR Myanmar</v>
      </c>
      <c r="B151" s="522" t="s">
        <v>525</v>
      </c>
      <c r="C151" s="525" t="n">
        <f aca="false">VLOOKUP(B151,'12.ppp data'!$C$3:$J$273,7,FALSE())</f>
        <v>5.31553582294189</v>
      </c>
      <c r="D151" s="525" t="str">
        <f aca="false">IF(VLOOKUP(B151,'12.ppp data'!$C$3:$J$273,8,FALSE())="est","est","-")</f>
        <v>-</v>
      </c>
      <c r="E151" s="522" t="s">
        <v>266</v>
      </c>
      <c r="F151" s="525" t="n">
        <v>4</v>
      </c>
      <c r="G151" s="525"/>
      <c r="H151" s="472"/>
      <c r="J151" s="522" t="s">
        <v>526</v>
      </c>
    </row>
    <row r="152" customFormat="false" ht="9.75" hidden="false" customHeight="true" outlineLevel="0" collapsed="false">
      <c r="A152" s="522" t="str">
        <f aca="false">'12.lan'!D469</f>
        <v>MNE Montenegro</v>
      </c>
      <c r="B152" s="522" t="s">
        <v>527</v>
      </c>
      <c r="C152" s="525" t="n">
        <f aca="false">VLOOKUP(B152,'12.ppp data'!$C$3:$J$273,7,FALSE())</f>
        <v>2.75715047790181</v>
      </c>
      <c r="D152" s="525" t="str">
        <f aca="false">IF(VLOOKUP(B152,'12.ppp data'!$C$3:$J$273,8,FALSE())="est","est","-")</f>
        <v>-</v>
      </c>
      <c r="E152" s="522" t="s">
        <v>272</v>
      </c>
      <c r="F152" s="525" t="n">
        <v>2</v>
      </c>
      <c r="G152" s="525" t="s">
        <v>263</v>
      </c>
      <c r="H152" s="472"/>
      <c r="J152" s="522" t="s">
        <v>528</v>
      </c>
    </row>
    <row r="153" customFormat="false" ht="9.75" hidden="false" customHeight="true" outlineLevel="0" collapsed="false">
      <c r="A153" s="522" t="str">
        <f aca="false">'12.lan'!D470</f>
        <v>MNG Mongolia</v>
      </c>
      <c r="B153" s="522" t="s">
        <v>529</v>
      </c>
      <c r="C153" s="525" t="n">
        <f aca="false">VLOOKUP(B153,'12.ppp data'!$C$3:$J$273,7,FALSE())</f>
        <v>3.91683564767957</v>
      </c>
      <c r="D153" s="525" t="str">
        <f aca="false">IF(VLOOKUP(B153,'12.ppp data'!$C$3:$J$273,8,FALSE())="est","est","-")</f>
        <v>-</v>
      </c>
      <c r="E153" s="522" t="s">
        <v>266</v>
      </c>
      <c r="F153" s="525" t="n">
        <v>4.17857142857143</v>
      </c>
      <c r="G153" s="525" t="s">
        <v>263</v>
      </c>
      <c r="H153" s="472"/>
      <c r="J153" s="522" t="s">
        <v>530</v>
      </c>
    </row>
    <row r="154" customFormat="false" ht="9.75" hidden="false" customHeight="true" outlineLevel="0" collapsed="false">
      <c r="A154" s="522" t="str">
        <f aca="false">'12.lan'!D471</f>
        <v>MNP Northern Mariana Islands</v>
      </c>
      <c r="B154" s="522" t="s">
        <v>531</v>
      </c>
      <c r="C154" s="525" t="n">
        <f aca="false">VLOOKUP(B154,'12.ppp data'!$C$3:$J$273,7,FALSE())</f>
        <v>1.35633083709363</v>
      </c>
      <c r="D154" s="525" t="str">
        <f aca="false">IF(VLOOKUP(B154,'12.ppp data'!$C$3:$J$273,8,FALSE())="est","est","-")</f>
        <v>est</v>
      </c>
      <c r="E154" s="522" t="s">
        <v>283</v>
      </c>
      <c r="F154" s="525" t="n">
        <v>3</v>
      </c>
      <c r="G154" s="525" t="s">
        <v>263</v>
      </c>
      <c r="H154" s="472"/>
      <c r="J154" s="522" t="s">
        <v>532</v>
      </c>
    </row>
    <row r="155" customFormat="false" ht="9.75" hidden="false" customHeight="true" outlineLevel="0" collapsed="false">
      <c r="A155" s="522" t="str">
        <f aca="false">'12.lan'!D472</f>
        <v>MOZ Mozambique</v>
      </c>
      <c r="B155" s="522" t="s">
        <v>533</v>
      </c>
      <c r="C155" s="525" t="n">
        <f aca="false">VLOOKUP(B155,'12.ppp data'!$C$3:$J$273,7,FALSE())</f>
        <v>3.40668986891956</v>
      </c>
      <c r="D155" s="525" t="str">
        <f aca="false">IF(VLOOKUP(B155,'12.ppp data'!$C$3:$J$273,8,FALSE())="est","est","-")</f>
        <v>-</v>
      </c>
      <c r="E155" s="522" t="s">
        <v>269</v>
      </c>
      <c r="F155" s="525" t="n">
        <v>3</v>
      </c>
      <c r="G155" s="525"/>
      <c r="H155" s="472"/>
      <c r="J155" s="522" t="s">
        <v>534</v>
      </c>
    </row>
    <row r="156" customFormat="false" ht="9.75" hidden="false" customHeight="true" outlineLevel="0" collapsed="false">
      <c r="A156" s="522" t="str">
        <f aca="false">'12.lan'!D473</f>
        <v>MRT Mauritania</v>
      </c>
      <c r="B156" s="522" t="s">
        <v>535</v>
      </c>
      <c r="C156" s="525" t="n">
        <f aca="false">VLOOKUP(B156,'12.ppp data'!$C$3:$J$273,7,FALSE())</f>
        <v>3.89285474896845</v>
      </c>
      <c r="D156" s="525" t="str">
        <f aca="false">IF(VLOOKUP(B156,'12.ppp data'!$C$3:$J$273,8,FALSE())="est","est","-")</f>
        <v>-</v>
      </c>
      <c r="E156" s="522" t="s">
        <v>269</v>
      </c>
      <c r="F156" s="525" t="n">
        <v>3.70833333333333</v>
      </c>
      <c r="G156" s="525" t="s">
        <v>263</v>
      </c>
      <c r="H156" s="472"/>
      <c r="J156" s="522" t="s">
        <v>536</v>
      </c>
    </row>
    <row r="157" customFormat="false" ht="9.75" hidden="false" customHeight="true" outlineLevel="0" collapsed="false">
      <c r="A157" s="522" t="str">
        <f aca="false">'12.lan'!D474</f>
        <v>MUS Mauritius</v>
      </c>
      <c r="B157" s="522" t="s">
        <v>537</v>
      </c>
      <c r="C157" s="525" t="n">
        <f aca="false">VLOOKUP(B157,'12.ppp data'!$C$3:$J$273,7,FALSE())</f>
        <v>2.30108226965678</v>
      </c>
      <c r="D157" s="525" t="str">
        <f aca="false">IF(VLOOKUP(B157,'12.ppp data'!$C$3:$J$273,8,FALSE())="est","est","-")</f>
        <v>-</v>
      </c>
      <c r="E157" s="522" t="s">
        <v>269</v>
      </c>
      <c r="F157" s="525" t="n">
        <v>3.70833333333333</v>
      </c>
      <c r="G157" s="525" t="s">
        <v>263</v>
      </c>
      <c r="H157" s="472"/>
      <c r="J157" s="522" t="s">
        <v>538</v>
      </c>
    </row>
    <row r="158" customFormat="false" ht="9.75" hidden="false" customHeight="true" outlineLevel="0" collapsed="false">
      <c r="A158" s="522" t="str">
        <f aca="false">'12.lan'!D475</f>
        <v>MWI Malawi</v>
      </c>
      <c r="B158" s="522" t="s">
        <v>539</v>
      </c>
      <c r="C158" s="525" t="n">
        <f aca="false">VLOOKUP(B158,'12.ppp data'!$C$3:$J$273,7,FALSE())</f>
        <v>3.94934736358746</v>
      </c>
      <c r="D158" s="525" t="str">
        <f aca="false">IF(VLOOKUP(B158,'12.ppp data'!$C$3:$J$273,8,FALSE())="est","est","-")</f>
        <v>-</v>
      </c>
      <c r="E158" s="522" t="s">
        <v>269</v>
      </c>
      <c r="F158" s="525" t="n">
        <v>3.70833333333333</v>
      </c>
      <c r="G158" s="525" t="s">
        <v>263</v>
      </c>
      <c r="H158" s="472"/>
      <c r="J158" s="522" t="s">
        <v>540</v>
      </c>
    </row>
    <row r="159" customFormat="false" ht="9.75" hidden="false" customHeight="true" outlineLevel="0" collapsed="false">
      <c r="A159" s="522" t="str">
        <f aca="false">'12.lan'!D476</f>
        <v>MYS Malaysia</v>
      </c>
      <c r="B159" s="522" t="s">
        <v>541</v>
      </c>
      <c r="C159" s="525" t="n">
        <f aca="false">VLOOKUP(B159,'12.ppp data'!$C$3:$J$273,7,FALSE())</f>
        <v>3.34095390869308</v>
      </c>
      <c r="D159" s="525" t="str">
        <f aca="false">IF(VLOOKUP(B159,'12.ppp data'!$C$3:$J$273,8,FALSE())="est","est","-")</f>
        <v>-</v>
      </c>
      <c r="E159" s="522" t="s">
        <v>266</v>
      </c>
      <c r="F159" s="525" t="n">
        <v>5</v>
      </c>
      <c r="G159" s="525"/>
      <c r="H159" s="472"/>
      <c r="J159" s="522" t="s">
        <v>542</v>
      </c>
    </row>
    <row r="160" customFormat="false" ht="9.75" hidden="false" customHeight="true" outlineLevel="0" collapsed="false">
      <c r="A160" s="522" t="str">
        <f aca="false">'12.lan'!D477</f>
        <v>NAM Namibia</v>
      </c>
      <c r="B160" s="522" t="s">
        <v>543</v>
      </c>
      <c r="C160" s="525" t="n">
        <f aca="false">VLOOKUP(B160,'12.ppp data'!$C$3:$J$273,7,FALSE())</f>
        <v>2.26122272509832</v>
      </c>
      <c r="D160" s="525" t="str">
        <f aca="false">IF(VLOOKUP(B160,'12.ppp data'!$C$3:$J$273,8,FALSE())="est","est","-")</f>
        <v>-</v>
      </c>
      <c r="E160" s="522" t="s">
        <v>269</v>
      </c>
      <c r="F160" s="525" t="n">
        <v>3</v>
      </c>
      <c r="G160" s="525"/>
      <c r="H160" s="472"/>
      <c r="J160" s="522" t="s">
        <v>544</v>
      </c>
    </row>
    <row r="161" customFormat="false" ht="9.75" hidden="false" customHeight="true" outlineLevel="0" collapsed="false">
      <c r="A161" s="522" t="str">
        <f aca="false">'12.lan'!D478</f>
        <v>NCL New Caledonia</v>
      </c>
      <c r="B161" s="522" t="s">
        <v>545</v>
      </c>
      <c r="C161" s="525" t="n">
        <f aca="false">VLOOKUP(B161,'12.ppp data'!$C$3:$J$273,7,FALSE())</f>
        <v>1.35633083709363</v>
      </c>
      <c r="D161" s="525" t="str">
        <f aca="false">IF(VLOOKUP(B161,'12.ppp data'!$C$3:$J$273,8,FALSE())="est","est","-")</f>
        <v>est</v>
      </c>
      <c r="E161" s="522" t="s">
        <v>283</v>
      </c>
      <c r="F161" s="525" t="n">
        <v>3</v>
      </c>
      <c r="G161" s="525" t="s">
        <v>263</v>
      </c>
      <c r="H161" s="472"/>
      <c r="J161" s="522" t="s">
        <v>546</v>
      </c>
    </row>
    <row r="162" customFormat="false" ht="9.75" hidden="false" customHeight="true" outlineLevel="0" collapsed="false">
      <c r="A162" s="522" t="str">
        <f aca="false">'12.lan'!D479</f>
        <v>NER Niger</v>
      </c>
      <c r="B162" s="522" t="s">
        <v>547</v>
      </c>
      <c r="C162" s="525" t="n">
        <f aca="false">VLOOKUP(B162,'12.ppp data'!$C$3:$J$273,7,FALSE())</f>
        <v>3.03451175828867</v>
      </c>
      <c r="D162" s="525" t="str">
        <f aca="false">IF(VLOOKUP(B162,'12.ppp data'!$C$3:$J$273,8,FALSE())="est","est","-")</f>
        <v>-</v>
      </c>
      <c r="E162" s="522" t="s">
        <v>269</v>
      </c>
      <c r="F162" s="525" t="n">
        <v>3.70833333333333</v>
      </c>
      <c r="G162" s="525" t="s">
        <v>263</v>
      </c>
      <c r="H162" s="472"/>
      <c r="J162" s="522" t="s">
        <v>548</v>
      </c>
    </row>
    <row r="163" customFormat="false" ht="9.75" hidden="false" customHeight="true" outlineLevel="0" collapsed="false">
      <c r="A163" s="522" t="str">
        <f aca="false">'12.lan'!D480</f>
        <v>NGA Nigeria</v>
      </c>
      <c r="B163" s="522" t="s">
        <v>549</v>
      </c>
      <c r="C163" s="525" t="n">
        <f aca="false">VLOOKUP(B163,'12.ppp data'!$C$3:$J$273,7,FALSE())</f>
        <v>3.64733163441153</v>
      </c>
      <c r="D163" s="525" t="str">
        <f aca="false">IF(VLOOKUP(B163,'12.ppp data'!$C$3:$J$273,8,FALSE())="est","est","-")</f>
        <v>-</v>
      </c>
      <c r="E163" s="522" t="s">
        <v>269</v>
      </c>
      <c r="F163" s="525" t="n">
        <v>5</v>
      </c>
      <c r="G163" s="525"/>
      <c r="H163" s="472"/>
      <c r="J163" s="522" t="s">
        <v>550</v>
      </c>
    </row>
    <row r="164" customFormat="false" ht="9.75" hidden="false" customHeight="true" outlineLevel="0" collapsed="false">
      <c r="A164" s="522" t="str">
        <f aca="false">'12.lan'!D481</f>
        <v>NIC Nicaragua</v>
      </c>
      <c r="B164" s="522" t="s">
        <v>551</v>
      </c>
      <c r="C164" s="525" t="n">
        <f aca="false">VLOOKUP(B164,'12.ppp data'!$C$3:$J$273,7,FALSE())</f>
        <v>2.92370990416819</v>
      </c>
      <c r="D164" s="525" t="str">
        <f aca="false">IF(VLOOKUP(B164,'12.ppp data'!$C$3:$J$273,8,FALSE())="est","est","-")</f>
        <v>-</v>
      </c>
      <c r="E164" s="522" t="s">
        <v>262</v>
      </c>
      <c r="F164" s="525" t="n">
        <v>3.42105263157895</v>
      </c>
      <c r="G164" s="525" t="s">
        <v>263</v>
      </c>
      <c r="H164" s="472"/>
      <c r="J164" s="522" t="s">
        <v>552</v>
      </c>
    </row>
    <row r="165" customFormat="false" ht="9.75" hidden="false" customHeight="true" outlineLevel="0" collapsed="false">
      <c r="A165" s="522" t="str">
        <f aca="false">'12.lan'!D482</f>
        <v>NLD Netherlands</v>
      </c>
      <c r="B165" s="522" t="s">
        <v>553</v>
      </c>
      <c r="C165" s="525" t="n">
        <f aca="false">VLOOKUP(B165,'12.ppp data'!$C$3:$J$273,7,FALSE())</f>
        <v>1.23714146094035</v>
      </c>
      <c r="D165" s="525" t="str">
        <f aca="false">IF(VLOOKUP(B165,'12.ppp data'!$C$3:$J$273,8,FALSE())="est","est","-")</f>
        <v>-</v>
      </c>
      <c r="E165" s="522" t="s">
        <v>272</v>
      </c>
      <c r="F165" s="525" t="n">
        <v>1</v>
      </c>
      <c r="G165" s="525"/>
      <c r="H165" s="472"/>
      <c r="J165" s="522" t="s">
        <v>554</v>
      </c>
    </row>
    <row r="166" customFormat="false" ht="9.75" hidden="false" customHeight="true" outlineLevel="0" collapsed="false">
      <c r="A166" s="522" t="str">
        <f aca="false">'12.lan'!D483</f>
        <v>NOR Norway</v>
      </c>
      <c r="B166" s="522" t="s">
        <v>555</v>
      </c>
      <c r="C166" s="525" t="n">
        <f aca="false">VLOOKUP(B166,'12.ppp data'!$C$3:$J$273,7,FALSE())</f>
        <v>0.91144613113908</v>
      </c>
      <c r="D166" s="525" t="str">
        <f aca="false">IF(VLOOKUP(B166,'12.ppp data'!$C$3:$J$273,8,FALSE())="est","est","-")</f>
        <v>-</v>
      </c>
      <c r="E166" s="522" t="s">
        <v>272</v>
      </c>
      <c r="F166" s="525" t="n">
        <v>1</v>
      </c>
      <c r="G166" s="525"/>
      <c r="H166" s="472"/>
      <c r="J166" s="522" t="s">
        <v>556</v>
      </c>
    </row>
    <row r="167" customFormat="false" ht="9.75" hidden="false" customHeight="true" outlineLevel="0" collapsed="false">
      <c r="A167" s="522" t="str">
        <f aca="false">'12.lan'!D484</f>
        <v>NPL Nepal</v>
      </c>
      <c r="B167" s="522" t="s">
        <v>557</v>
      </c>
      <c r="C167" s="525" t="n">
        <f aca="false">VLOOKUP(B167,'12.ppp data'!$C$3:$J$273,7,FALSE())</f>
        <v>3.5079000577966</v>
      </c>
      <c r="D167" s="525" t="str">
        <f aca="false">IF(VLOOKUP(B167,'12.ppp data'!$C$3:$J$273,8,FALSE())="est","est","-")</f>
        <v>-</v>
      </c>
      <c r="E167" s="522" t="s">
        <v>266</v>
      </c>
      <c r="F167" s="525" t="n">
        <v>4</v>
      </c>
      <c r="G167" s="525"/>
      <c r="H167" s="472"/>
      <c r="J167" s="522" t="s">
        <v>558</v>
      </c>
    </row>
    <row r="168" customFormat="false" ht="9.75" hidden="false" customHeight="true" outlineLevel="0" collapsed="false">
      <c r="A168" s="522" t="str">
        <f aca="false">'12.lan'!D485</f>
        <v>NRU Nauru</v>
      </c>
      <c r="B168" s="522" t="s">
        <v>559</v>
      </c>
      <c r="C168" s="525" t="n">
        <f aca="false">VLOOKUP(B168,'12.ppp data'!$C$3:$J$273,7,FALSE())</f>
        <v>1.88609880733593</v>
      </c>
      <c r="D168" s="525" t="str">
        <f aca="false">IF(VLOOKUP(B168,'12.ppp data'!$C$3:$J$273,8,FALSE())="est","est","-")</f>
        <v>-</v>
      </c>
      <c r="E168" s="522" t="s">
        <v>283</v>
      </c>
      <c r="F168" s="525" t="n">
        <v>3</v>
      </c>
      <c r="G168" s="525" t="s">
        <v>263</v>
      </c>
      <c r="H168" s="472"/>
      <c r="J168" s="522" t="s">
        <v>560</v>
      </c>
    </row>
    <row r="169" customFormat="false" ht="9.75" hidden="false" customHeight="true" outlineLevel="0" collapsed="false">
      <c r="A169" s="522" t="str">
        <f aca="false">'12.lan'!D486</f>
        <v>NZL New Zealand</v>
      </c>
      <c r="B169" s="522" t="s">
        <v>561</v>
      </c>
      <c r="C169" s="525" t="n">
        <f aca="false">VLOOKUP(B169,'12.ppp data'!$C$3:$J$273,7,FALSE())</f>
        <v>1.07607874212516</v>
      </c>
      <c r="D169" s="525" t="str">
        <f aca="false">IF(VLOOKUP(B169,'12.ppp data'!$C$3:$J$273,8,FALSE())="est","est","-")</f>
        <v>-</v>
      </c>
      <c r="E169" s="522" t="s">
        <v>283</v>
      </c>
      <c r="F169" s="525" t="n">
        <v>3</v>
      </c>
      <c r="G169" s="525" t="s">
        <v>263</v>
      </c>
      <c r="H169" s="472"/>
      <c r="J169" s="522" t="s">
        <v>562</v>
      </c>
    </row>
    <row r="170" customFormat="false" ht="9.75" hidden="false" customHeight="true" outlineLevel="0" collapsed="false">
      <c r="A170" s="522" t="str">
        <f aca="false">'12.lan'!D487</f>
        <v>OMN Oman</v>
      </c>
      <c r="B170" s="522" t="s">
        <v>563</v>
      </c>
      <c r="C170" s="525" t="n">
        <f aca="false">VLOOKUP(B170,'12.ppp data'!$C$3:$J$273,7,FALSE())</f>
        <v>2.99894922477162</v>
      </c>
      <c r="D170" s="525" t="str">
        <f aca="false">IF(VLOOKUP(B170,'12.ppp data'!$C$3:$J$273,8,FALSE())="est","est","-")</f>
        <v>-</v>
      </c>
      <c r="E170" s="522" t="s">
        <v>266</v>
      </c>
      <c r="F170" s="525" t="n">
        <v>4</v>
      </c>
      <c r="G170" s="525"/>
      <c r="H170" s="472"/>
      <c r="J170" s="522" t="s">
        <v>564</v>
      </c>
    </row>
    <row r="171" customFormat="false" ht="9.75" hidden="false" customHeight="true" outlineLevel="0" collapsed="false">
      <c r="A171" s="522" t="str">
        <f aca="false">'12.lan'!D488</f>
        <v>PAK Pakistan</v>
      </c>
      <c r="B171" s="522" t="s">
        <v>565</v>
      </c>
      <c r="C171" s="525" t="n">
        <f aca="false">VLOOKUP(B171,'12.ppp data'!$C$3:$J$273,7,FALSE())</f>
        <v>4.01618180859595</v>
      </c>
      <c r="D171" s="525" t="str">
        <f aca="false">IF(VLOOKUP(B171,'12.ppp data'!$C$3:$J$273,8,FALSE())="est","est","-")</f>
        <v>-</v>
      </c>
      <c r="E171" s="522" t="s">
        <v>266</v>
      </c>
      <c r="F171" s="525" t="n">
        <v>4</v>
      </c>
      <c r="G171" s="525"/>
      <c r="H171" s="472"/>
      <c r="J171" s="522" t="s">
        <v>566</v>
      </c>
    </row>
    <row r="172" customFormat="false" ht="9.75" hidden="false" customHeight="true" outlineLevel="0" collapsed="false">
      <c r="A172" s="522" t="str">
        <f aca="false">'12.lan'!D489</f>
        <v>PAN Panama</v>
      </c>
      <c r="B172" s="522" t="s">
        <v>567</v>
      </c>
      <c r="C172" s="525" t="n">
        <f aca="false">VLOOKUP(B172,'12.ppp data'!$C$3:$J$273,7,FALSE())</f>
        <v>1.83006779906169</v>
      </c>
      <c r="D172" s="525" t="str">
        <f aca="false">IF(VLOOKUP(B172,'12.ppp data'!$C$3:$J$273,8,FALSE())="est","est","-")</f>
        <v>-</v>
      </c>
      <c r="E172" s="522" t="s">
        <v>262</v>
      </c>
      <c r="F172" s="525" t="n">
        <v>4</v>
      </c>
      <c r="G172" s="525"/>
      <c r="H172" s="472"/>
      <c r="J172" s="522" t="s">
        <v>568</v>
      </c>
    </row>
    <row r="173" customFormat="false" ht="9.75" hidden="false" customHeight="true" outlineLevel="0" collapsed="false">
      <c r="A173" s="522" t="str">
        <f aca="false">'12.lan'!D490</f>
        <v>PER Peru</v>
      </c>
      <c r="B173" s="522" t="s">
        <v>569</v>
      </c>
      <c r="C173" s="525" t="n">
        <f aca="false">VLOOKUP(B173,'12.ppp data'!$C$3:$J$273,7,FALSE())</f>
        <v>2.28216515379713</v>
      </c>
      <c r="D173" s="525" t="str">
        <f aca="false">IF(VLOOKUP(B173,'12.ppp data'!$C$3:$J$273,8,FALSE())="est","est","-")</f>
        <v>-</v>
      </c>
      <c r="E173" s="522" t="s">
        <v>262</v>
      </c>
      <c r="F173" s="525" t="n">
        <v>4</v>
      </c>
      <c r="G173" s="525"/>
      <c r="H173" s="472"/>
      <c r="J173" s="522" t="s">
        <v>570</v>
      </c>
    </row>
    <row r="174" customFormat="false" ht="9.75" hidden="false" customHeight="true" outlineLevel="0" collapsed="false">
      <c r="A174" s="522" t="str">
        <f aca="false">'12.lan'!D491</f>
        <v>PHL Philippines</v>
      </c>
      <c r="B174" s="522" t="s">
        <v>571</v>
      </c>
      <c r="C174" s="525" t="n">
        <f aca="false">VLOOKUP(B174,'12.ppp data'!$C$3:$J$273,7,FALSE())</f>
        <v>3.14769869498838</v>
      </c>
      <c r="D174" s="525" t="str">
        <f aca="false">IF(VLOOKUP(B174,'12.ppp data'!$C$3:$J$273,8,FALSE())="est","est","-")</f>
        <v>-</v>
      </c>
      <c r="E174" s="522" t="s">
        <v>266</v>
      </c>
      <c r="F174" s="525" t="n">
        <v>5</v>
      </c>
      <c r="G174" s="525"/>
      <c r="H174" s="472"/>
      <c r="J174" s="522" t="s">
        <v>572</v>
      </c>
    </row>
    <row r="175" customFormat="false" ht="9.75" hidden="false" customHeight="true" outlineLevel="0" collapsed="false">
      <c r="A175" s="522" t="str">
        <f aca="false">'12.lan'!D492</f>
        <v>PLW Palau</v>
      </c>
      <c r="B175" s="522" t="s">
        <v>573</v>
      </c>
      <c r="C175" s="525" t="n">
        <f aca="false">VLOOKUP(B175,'12.ppp data'!$C$3:$J$273,7,FALSE())</f>
        <v>1.22366830689442</v>
      </c>
      <c r="D175" s="525" t="str">
        <f aca="false">IF(VLOOKUP(B175,'12.ppp data'!$C$3:$J$273,8,FALSE())="est","est","-")</f>
        <v>-</v>
      </c>
      <c r="E175" s="522" t="s">
        <v>283</v>
      </c>
      <c r="F175" s="525" t="n">
        <v>3</v>
      </c>
      <c r="G175" s="525" t="s">
        <v>263</v>
      </c>
      <c r="H175" s="472"/>
      <c r="J175" s="522" t="s">
        <v>574</v>
      </c>
    </row>
    <row r="176" customFormat="false" ht="9.75" hidden="false" customHeight="true" outlineLevel="0" collapsed="false">
      <c r="A176" s="522" t="str">
        <f aca="false">'12.lan'!D493</f>
        <v>PNG Papua New Guinea</v>
      </c>
      <c r="B176" s="522" t="s">
        <v>575</v>
      </c>
      <c r="C176" s="525" t="n">
        <f aca="false">VLOOKUP(B176,'12.ppp data'!$C$3:$J$273,7,FALSE())</f>
        <v>1.81785765698532</v>
      </c>
      <c r="D176" s="525" t="str">
        <f aca="false">IF(VLOOKUP(B176,'12.ppp data'!$C$3:$J$273,8,FALSE())="est","est","-")</f>
        <v>-</v>
      </c>
      <c r="E176" s="522" t="s">
        <v>283</v>
      </c>
      <c r="F176" s="525" t="n">
        <v>3</v>
      </c>
      <c r="G176" s="525" t="s">
        <v>263</v>
      </c>
      <c r="H176" s="472"/>
      <c r="J176" s="522" t="s">
        <v>576</v>
      </c>
    </row>
    <row r="177" customFormat="false" ht="9.75" hidden="false" customHeight="true" outlineLevel="0" collapsed="false">
      <c r="A177" s="522" t="str">
        <f aca="false">'12.lan'!D494</f>
        <v>POL Poland</v>
      </c>
      <c r="B177" s="522" t="s">
        <v>577</v>
      </c>
      <c r="C177" s="525" t="n">
        <f aca="false">VLOOKUP(B177,'12.ppp data'!$C$3:$J$273,7,FALSE())</f>
        <v>2.39207920980538</v>
      </c>
      <c r="D177" s="525" t="str">
        <f aca="false">IF(VLOOKUP(B177,'12.ppp data'!$C$3:$J$273,8,FALSE())="est","est","-")</f>
        <v>-</v>
      </c>
      <c r="E177" s="522" t="s">
        <v>272</v>
      </c>
      <c r="F177" s="525" t="n">
        <v>3</v>
      </c>
      <c r="G177" s="525"/>
      <c r="H177" s="472"/>
      <c r="J177" s="522" t="s">
        <v>578</v>
      </c>
    </row>
    <row r="178" customFormat="false" ht="9.75" hidden="false" customHeight="true" outlineLevel="0" collapsed="false">
      <c r="A178" s="522" t="str">
        <f aca="false">'12.lan'!D495</f>
        <v>PRI Puerto Rico</v>
      </c>
      <c r="B178" s="522" t="s">
        <v>579</v>
      </c>
      <c r="C178" s="525" t="n">
        <f aca="false">VLOOKUP(B178,'12.ppp data'!$C$3:$J$273,7,FALSE())</f>
        <v>1.96289944979353</v>
      </c>
      <c r="D178" s="525" t="str">
        <f aca="false">IF(VLOOKUP(B178,'12.ppp data'!$C$3:$J$273,8,FALSE())="est","est","-")</f>
        <v>est</v>
      </c>
      <c r="E178" s="522" t="s">
        <v>262</v>
      </c>
      <c r="F178" s="525" t="n">
        <v>3.42105263157895</v>
      </c>
      <c r="G178" s="525" t="s">
        <v>263</v>
      </c>
      <c r="H178" s="472"/>
      <c r="J178" s="522" t="s">
        <v>580</v>
      </c>
    </row>
    <row r="179" customFormat="false" ht="9.75" hidden="false" customHeight="true" outlineLevel="0" collapsed="false">
      <c r="A179" s="522" t="str">
        <f aca="false">'12.lan'!D496</f>
        <v>PRK Korea, Democratic People's Republic of</v>
      </c>
      <c r="B179" s="522" t="s">
        <v>581</v>
      </c>
      <c r="C179" s="525" t="n">
        <f aca="false">VLOOKUP(B179,'12.ppp data'!$C$3:$J$273,7,FALSE())</f>
        <v>3.00272943672245</v>
      </c>
      <c r="D179" s="525" t="str">
        <f aca="false">IF(VLOOKUP(B179,'12.ppp data'!$C$3:$J$273,8,FALSE())="est","est","-")</f>
        <v>est</v>
      </c>
      <c r="E179" s="522" t="s">
        <v>266</v>
      </c>
      <c r="F179" s="525" t="n">
        <v>4.17857142857143</v>
      </c>
      <c r="G179" s="525" t="s">
        <v>263</v>
      </c>
      <c r="H179" s="472"/>
      <c r="J179" s="522" t="s">
        <v>582</v>
      </c>
    </row>
    <row r="180" customFormat="false" ht="9.75" hidden="false" customHeight="true" outlineLevel="0" collapsed="false">
      <c r="A180" s="522" t="str">
        <f aca="false">'12.lan'!D497</f>
        <v>PRT Portugal</v>
      </c>
      <c r="B180" s="522" t="s">
        <v>583</v>
      </c>
      <c r="C180" s="525" t="n">
        <f aca="false">VLOOKUP(B180,'12.ppp data'!$C$3:$J$273,7,FALSE())</f>
        <v>1.71669399071269</v>
      </c>
      <c r="D180" s="525" t="str">
        <f aca="false">IF(VLOOKUP(B180,'12.ppp data'!$C$3:$J$273,8,FALSE())="est","est","-")</f>
        <v>-</v>
      </c>
      <c r="E180" s="522" t="s">
        <v>272</v>
      </c>
      <c r="F180" s="525" t="n">
        <v>3</v>
      </c>
      <c r="G180" s="525"/>
      <c r="H180" s="472"/>
      <c r="J180" s="522" t="s">
        <v>584</v>
      </c>
    </row>
    <row r="181" customFormat="false" ht="9.75" hidden="false" customHeight="true" outlineLevel="0" collapsed="false">
      <c r="A181" s="522" t="str">
        <f aca="false">'12.lan'!D498</f>
        <v>PRY Paraguay</v>
      </c>
      <c r="B181" s="522" t="s">
        <v>585</v>
      </c>
      <c r="C181" s="525" t="n">
        <f aca="false">VLOOKUP(B181,'12.ppp data'!$C$3:$J$273,7,FALSE())</f>
        <v>2.48547766885933</v>
      </c>
      <c r="D181" s="525" t="str">
        <f aca="false">IF(VLOOKUP(B181,'12.ppp data'!$C$3:$J$273,8,FALSE())="est","est","-")</f>
        <v>-</v>
      </c>
      <c r="E181" s="522" t="s">
        <v>262</v>
      </c>
      <c r="F181" s="525" t="n">
        <v>3</v>
      </c>
      <c r="G181" s="525"/>
      <c r="H181" s="472"/>
      <c r="J181" s="522" t="s">
        <v>586</v>
      </c>
    </row>
    <row r="182" customFormat="false" ht="9.75" hidden="false" customHeight="true" outlineLevel="0" collapsed="false">
      <c r="A182" s="522" t="str">
        <f aca="false">'12.lan'!D499</f>
        <v>PSE Palestinian Territory, Occupied</v>
      </c>
      <c r="B182" s="522" t="s">
        <v>587</v>
      </c>
      <c r="C182" s="525" t="n">
        <f aca="false">VLOOKUP(B182,'12.ppp data'!$C$3:$J$273,7,FALSE())</f>
        <v>3.00272943672245</v>
      </c>
      <c r="D182" s="525" t="str">
        <f aca="false">IF(VLOOKUP(B182,'12.ppp data'!$C$3:$J$273,8,FALSE())="est","est","-")</f>
        <v>est</v>
      </c>
      <c r="E182" s="522" t="s">
        <v>266</v>
      </c>
      <c r="F182" s="525" t="n">
        <v>4.17857142857143</v>
      </c>
      <c r="G182" s="525" t="s">
        <v>263</v>
      </c>
      <c r="H182" s="472"/>
      <c r="J182" s="522" t="s">
        <v>588</v>
      </c>
    </row>
    <row r="183" customFormat="false" ht="9.75" hidden="false" customHeight="true" outlineLevel="0" collapsed="false">
      <c r="A183" s="522" t="str">
        <f aca="false">'12.lan'!D500</f>
        <v>PYF French Polynesia</v>
      </c>
      <c r="B183" s="522" t="s">
        <v>589</v>
      </c>
      <c r="C183" s="525" t="n">
        <f aca="false">VLOOKUP(B183,'12.ppp data'!$C$3:$J$273,7,FALSE())</f>
        <v>1.35633083709363</v>
      </c>
      <c r="D183" s="525" t="str">
        <f aca="false">IF(VLOOKUP(B183,'12.ppp data'!$C$3:$J$273,8,FALSE())="est","est","-")</f>
        <v>est</v>
      </c>
      <c r="E183" s="522" t="s">
        <v>283</v>
      </c>
      <c r="F183" s="525" t="n">
        <v>3</v>
      </c>
      <c r="G183" s="525" t="s">
        <v>263</v>
      </c>
      <c r="H183" s="472"/>
      <c r="I183" s="524"/>
      <c r="J183" s="522" t="s">
        <v>590</v>
      </c>
    </row>
    <row r="184" customFormat="false" ht="9.75" hidden="false" customHeight="true" outlineLevel="0" collapsed="false">
      <c r="A184" s="522" t="str">
        <f aca="false">'12.lan'!D501</f>
        <v>QAT Qatar</v>
      </c>
      <c r="B184" s="522" t="s">
        <v>591</v>
      </c>
      <c r="C184" s="525" t="n">
        <f aca="false">VLOOKUP(B184,'12.ppp data'!$C$3:$J$273,7,FALSE())</f>
        <v>2.27544019899822</v>
      </c>
      <c r="D184" s="525" t="str">
        <f aca="false">IF(VLOOKUP(B184,'12.ppp data'!$C$3:$J$273,8,FALSE())="est","est","-")</f>
        <v>-</v>
      </c>
      <c r="E184" s="522" t="s">
        <v>266</v>
      </c>
      <c r="F184" s="525" t="n">
        <v>5</v>
      </c>
      <c r="G184" s="525"/>
      <c r="H184" s="472"/>
      <c r="J184" s="522" t="s">
        <v>592</v>
      </c>
    </row>
    <row r="185" customFormat="false" ht="9.75" hidden="false" customHeight="true" outlineLevel="0" collapsed="false">
      <c r="A185" s="522" t="str">
        <f aca="false">'12.lan'!D502</f>
        <v>ROU Romania</v>
      </c>
      <c r="B185" s="522" t="s">
        <v>593</v>
      </c>
      <c r="C185" s="525" t="n">
        <f aca="false">VLOOKUP(B185,'12.ppp data'!$C$3:$J$273,7,FALSE())</f>
        <v>2.69557227475973</v>
      </c>
      <c r="D185" s="525" t="str">
        <f aca="false">IF(VLOOKUP(B185,'12.ppp data'!$C$3:$J$273,8,FALSE())="est","est","-")</f>
        <v>-</v>
      </c>
      <c r="E185" s="522" t="s">
        <v>272</v>
      </c>
      <c r="F185" s="525" t="n">
        <v>3</v>
      </c>
      <c r="G185" s="525"/>
      <c r="H185" s="472"/>
      <c r="J185" s="522" t="s">
        <v>594</v>
      </c>
    </row>
    <row r="186" customFormat="false" ht="9.75" hidden="false" customHeight="true" outlineLevel="0" collapsed="false">
      <c r="A186" s="522" t="str">
        <f aca="false">'12.lan'!D503</f>
        <v>RUS Russian Federation</v>
      </c>
      <c r="B186" s="522" t="s">
        <v>595</v>
      </c>
      <c r="C186" s="525" t="n">
        <f aca="false">VLOOKUP(B186,'12.ppp data'!$C$3:$J$273,7,FALSE())</f>
        <v>2.68212657801862</v>
      </c>
      <c r="D186" s="525" t="str">
        <f aca="false">IF(VLOOKUP(B186,'12.ppp data'!$C$3:$J$273,8,FALSE())="est","est","-")</f>
        <v>-</v>
      </c>
      <c r="E186" s="522" t="s">
        <v>272</v>
      </c>
      <c r="F186" s="525" t="n">
        <v>2</v>
      </c>
      <c r="G186" s="525"/>
      <c r="H186" s="472"/>
      <c r="J186" s="522" t="s">
        <v>596</v>
      </c>
    </row>
    <row r="187" customFormat="false" ht="9.75" hidden="false" customHeight="true" outlineLevel="0" collapsed="false">
      <c r="A187" s="522" t="str">
        <f aca="false">'12.lan'!D504</f>
        <v>RWA Rwanda</v>
      </c>
      <c r="B187" s="522" t="s">
        <v>597</v>
      </c>
      <c r="C187" s="525" t="n">
        <f aca="false">VLOOKUP(B187,'12.ppp data'!$C$3:$J$273,7,FALSE())</f>
        <v>3.04228722120981</v>
      </c>
      <c r="D187" s="525" t="str">
        <f aca="false">IF(VLOOKUP(B187,'12.ppp data'!$C$3:$J$273,8,FALSE())="est","est","-")</f>
        <v>-</v>
      </c>
      <c r="E187" s="522" t="s">
        <v>269</v>
      </c>
      <c r="F187" s="525" t="n">
        <v>3.70833333333333</v>
      </c>
      <c r="G187" s="525" t="s">
        <v>263</v>
      </c>
      <c r="H187" s="472"/>
      <c r="J187" s="522" t="s">
        <v>598</v>
      </c>
    </row>
    <row r="188" customFormat="false" ht="9.75" hidden="false" customHeight="true" outlineLevel="0" collapsed="false">
      <c r="A188" s="522" t="str">
        <f aca="false">'12.lan'!D505</f>
        <v>SAU Saudi Arabia</v>
      </c>
      <c r="B188" s="522" t="s">
        <v>599</v>
      </c>
      <c r="C188" s="525" t="n">
        <f aca="false">VLOOKUP(B188,'12.ppp data'!$C$3:$J$273,7,FALSE())</f>
        <v>2.92773276934852</v>
      </c>
      <c r="D188" s="525" t="str">
        <f aca="false">IF(VLOOKUP(B188,'12.ppp data'!$C$3:$J$273,8,FALSE())="est","est","-")</f>
        <v>-</v>
      </c>
      <c r="E188" s="522" t="s">
        <v>266</v>
      </c>
      <c r="F188" s="525" t="n">
        <v>5</v>
      </c>
      <c r="G188" s="525"/>
      <c r="H188" s="472"/>
      <c r="J188" s="522" t="s">
        <v>600</v>
      </c>
    </row>
    <row r="189" customFormat="false" ht="9.75" hidden="false" customHeight="true" outlineLevel="0" collapsed="false">
      <c r="A189" s="522" t="str">
        <f aca="false">'12.lan'!D506</f>
        <v>SDN Sudan</v>
      </c>
      <c r="B189" s="522" t="s">
        <v>601</v>
      </c>
      <c r="C189" s="525" t="n">
        <f aca="false">VLOOKUP(B189,'12.ppp data'!$C$3:$J$273,7,FALSE())</f>
        <v>1.80343208624182</v>
      </c>
      <c r="D189" s="525" t="str">
        <f aca="false">IF(VLOOKUP(B189,'12.ppp data'!$C$3:$J$273,8,FALSE())="est","est","-")</f>
        <v>-</v>
      </c>
      <c r="E189" s="522" t="s">
        <v>269</v>
      </c>
      <c r="F189" s="525" t="n">
        <v>6</v>
      </c>
      <c r="G189" s="525"/>
      <c r="H189" s="472"/>
      <c r="J189" s="522" t="s">
        <v>602</v>
      </c>
    </row>
    <row r="190" customFormat="false" ht="9.75" hidden="false" customHeight="true" outlineLevel="0" collapsed="false">
      <c r="A190" s="522" t="str">
        <f aca="false">'12.lan'!D507</f>
        <v>SEN Senegal</v>
      </c>
      <c r="B190" s="522" t="s">
        <v>603</v>
      </c>
      <c r="C190" s="525" t="n">
        <f aca="false">VLOOKUP(B190,'12.ppp data'!$C$3:$J$273,7,FALSE())</f>
        <v>2.96283833559755</v>
      </c>
      <c r="D190" s="525" t="str">
        <f aca="false">IF(VLOOKUP(B190,'12.ppp data'!$C$3:$J$273,8,FALSE())="est","est","-")</f>
        <v>-</v>
      </c>
      <c r="E190" s="522" t="s">
        <v>269</v>
      </c>
      <c r="F190" s="525" t="n">
        <v>2</v>
      </c>
      <c r="G190" s="525"/>
      <c r="H190" s="472"/>
      <c r="J190" s="522" t="s">
        <v>604</v>
      </c>
    </row>
    <row r="191" customFormat="false" ht="9.75" hidden="false" customHeight="true" outlineLevel="0" collapsed="false">
      <c r="A191" s="522" t="str">
        <f aca="false">'12.lan'!D508</f>
        <v>SGP Singapore</v>
      </c>
      <c r="B191" s="522" t="s">
        <v>605</v>
      </c>
      <c r="C191" s="525" t="n">
        <f aca="false">VLOOKUP(B191,'12.ppp data'!$C$3:$J$273,7,FALSE())</f>
        <v>1.83748419171245</v>
      </c>
      <c r="D191" s="525" t="str">
        <f aca="false">IF(VLOOKUP(B191,'12.ppp data'!$C$3:$J$273,8,FALSE())="est","est","-")</f>
        <v>-</v>
      </c>
      <c r="E191" s="522" t="s">
        <v>266</v>
      </c>
      <c r="F191" s="525" t="n">
        <v>3</v>
      </c>
      <c r="G191" s="525"/>
      <c r="H191" s="472"/>
      <c r="J191" s="522" t="s">
        <v>606</v>
      </c>
    </row>
    <row r="192" customFormat="false" ht="9.75" hidden="false" customHeight="true" outlineLevel="0" collapsed="false">
      <c r="A192" s="522" t="str">
        <f aca="false">'12.lan'!D509</f>
        <v>SLB Solomon Islands</v>
      </c>
      <c r="B192" s="522" t="s">
        <v>607</v>
      </c>
      <c r="C192" s="525" t="n">
        <f aca="false">VLOOKUP(B192,'12.ppp data'!$C$3:$J$273,7,FALSE())</f>
        <v>1.24379365535015</v>
      </c>
      <c r="D192" s="525" t="str">
        <f aca="false">IF(VLOOKUP(B192,'12.ppp data'!$C$3:$J$273,8,FALSE())="est","est","-")</f>
        <v>-</v>
      </c>
      <c r="E192" s="522" t="s">
        <v>283</v>
      </c>
      <c r="F192" s="525" t="n">
        <v>3</v>
      </c>
      <c r="G192" s="525" t="s">
        <v>263</v>
      </c>
      <c r="H192" s="472"/>
      <c r="J192" s="522" t="s">
        <v>608</v>
      </c>
    </row>
    <row r="193" customFormat="false" ht="9.75" hidden="false" customHeight="true" outlineLevel="0" collapsed="false">
      <c r="A193" s="522" t="str">
        <f aca="false">'12.lan'!D510</f>
        <v>SLE Sierra Leone</v>
      </c>
      <c r="B193" s="522" t="s">
        <v>609</v>
      </c>
      <c r="C193" s="525" t="n">
        <f aca="false">VLOOKUP(B193,'12.ppp data'!$C$3:$J$273,7,FALSE())</f>
        <v>3.51807415921038</v>
      </c>
      <c r="D193" s="525" t="str">
        <f aca="false">IF(VLOOKUP(B193,'12.ppp data'!$C$3:$J$273,8,FALSE())="est","est","-")</f>
        <v>-</v>
      </c>
      <c r="E193" s="522" t="s">
        <v>269</v>
      </c>
      <c r="F193" s="525" t="n">
        <v>3.70833333333333</v>
      </c>
      <c r="G193" s="525" t="s">
        <v>263</v>
      </c>
      <c r="H193" s="472"/>
      <c r="J193" s="522" t="s">
        <v>610</v>
      </c>
    </row>
    <row r="194" customFormat="false" ht="9.75" hidden="false" customHeight="true" outlineLevel="0" collapsed="false">
      <c r="A194" s="522" t="str">
        <f aca="false">'12.lan'!D511</f>
        <v>SLV El Salvador</v>
      </c>
      <c r="B194" s="522" t="s">
        <v>611</v>
      </c>
      <c r="C194" s="525" t="n">
        <f aca="false">VLOOKUP(B194,'12.ppp data'!$C$3:$J$273,7,FALSE())</f>
        <v>2.32503109548962</v>
      </c>
      <c r="D194" s="525" t="str">
        <f aca="false">IF(VLOOKUP(B194,'12.ppp data'!$C$3:$J$273,8,FALSE())="est","est","-")</f>
        <v>-</v>
      </c>
      <c r="E194" s="522" t="s">
        <v>262</v>
      </c>
      <c r="F194" s="525" t="n">
        <v>4</v>
      </c>
      <c r="G194" s="525"/>
      <c r="H194" s="472"/>
      <c r="J194" s="522" t="s">
        <v>612</v>
      </c>
    </row>
    <row r="195" customFormat="false" ht="9.75" hidden="false" customHeight="true" outlineLevel="0" collapsed="false">
      <c r="A195" s="522" t="str">
        <f aca="false">'12.lan'!D512</f>
        <v>SMR San Marino</v>
      </c>
      <c r="B195" s="522" t="s">
        <v>613</v>
      </c>
      <c r="C195" s="525" t="n">
        <f aca="false">VLOOKUP(B195,'12.ppp data'!$C$3:$J$273,7,FALSE())</f>
        <v>1.41645118186608</v>
      </c>
      <c r="D195" s="525" t="str">
        <f aca="false">IF(VLOOKUP(B195,'12.ppp data'!$C$3:$J$273,8,FALSE())="est","est","-")</f>
        <v>-</v>
      </c>
      <c r="E195" s="522" t="s">
        <v>272</v>
      </c>
      <c r="F195" s="525" t="n">
        <v>2</v>
      </c>
      <c r="G195" s="525" t="s">
        <v>263</v>
      </c>
      <c r="H195" s="472"/>
      <c r="J195" s="522" t="s">
        <v>614</v>
      </c>
    </row>
    <row r="196" customFormat="false" ht="9.75" hidden="false" customHeight="true" outlineLevel="0" collapsed="false">
      <c r="A196" s="522" t="str">
        <f aca="false">'12.lan'!D513</f>
        <v>SOM Somalia</v>
      </c>
      <c r="B196" s="522" t="s">
        <v>615</v>
      </c>
      <c r="C196" s="525" t="n">
        <f aca="false">VLOOKUP(B196,'12.ppp data'!$C$3:$J$273,7,FALSE())</f>
        <v>3.03256163278312</v>
      </c>
      <c r="D196" s="525" t="str">
        <f aca="false">IF(VLOOKUP(B196,'12.ppp data'!$C$3:$J$273,8,FALSE())="est","est","-")</f>
        <v>est</v>
      </c>
      <c r="E196" s="522" t="s">
        <v>269</v>
      </c>
      <c r="F196" s="525" t="n">
        <v>3.70833333333333</v>
      </c>
      <c r="G196" s="525" t="s">
        <v>263</v>
      </c>
      <c r="H196" s="472"/>
      <c r="J196" s="522" t="s">
        <v>616</v>
      </c>
    </row>
    <row r="197" customFormat="false" ht="9.75" hidden="false" customHeight="true" outlineLevel="0" collapsed="false">
      <c r="A197" s="522" t="str">
        <f aca="false">'12.lan'!D514</f>
        <v>SRB Serbia</v>
      </c>
      <c r="B197" s="522" t="s">
        <v>617</v>
      </c>
      <c r="C197" s="525" t="n">
        <f aca="false">VLOOKUP(B197,'12.ppp data'!$C$3:$J$273,7,FALSE())</f>
        <v>2.87918793467832</v>
      </c>
      <c r="D197" s="525" t="str">
        <f aca="false">IF(VLOOKUP(B197,'12.ppp data'!$C$3:$J$273,8,FALSE())="est","est","-")</f>
        <v>-</v>
      </c>
      <c r="E197" s="522" t="s">
        <v>272</v>
      </c>
      <c r="F197" s="525" t="n">
        <v>2</v>
      </c>
      <c r="G197" s="525"/>
      <c r="H197" s="472"/>
      <c r="J197" s="522" t="s">
        <v>618</v>
      </c>
    </row>
    <row r="198" customFormat="false" ht="9.75" hidden="false" customHeight="true" outlineLevel="0" collapsed="false">
      <c r="A198" s="522" t="str">
        <f aca="false">'12.lan'!D515</f>
        <v>SSD South Sudan</v>
      </c>
      <c r="B198" s="522" t="s">
        <v>619</v>
      </c>
      <c r="C198" s="525" t="n">
        <f aca="false">VLOOKUP(B198,'12.ppp data'!$C$3:$J$273,7,FALSE())</f>
        <v>3.03256163278312</v>
      </c>
      <c r="D198" s="525" t="str">
        <f aca="false">IF(VLOOKUP(B198,'12.ppp data'!$C$3:$J$273,8,FALSE())="est","est","-")</f>
        <v>est</v>
      </c>
      <c r="E198" s="522" t="s">
        <v>269</v>
      </c>
      <c r="F198" s="525" t="n">
        <v>3.70833333333333</v>
      </c>
      <c r="G198" s="525" t="s">
        <v>263</v>
      </c>
      <c r="H198" s="472"/>
      <c r="J198" s="522" t="s">
        <v>620</v>
      </c>
    </row>
    <row r="199" customFormat="false" ht="9.75" hidden="false" customHeight="true" outlineLevel="0" collapsed="false">
      <c r="A199" s="522" t="str">
        <f aca="false">'12.lan'!D516</f>
        <v>STP Sao Tome and Principe</v>
      </c>
      <c r="B199" s="522" t="s">
        <v>621</v>
      </c>
      <c r="C199" s="525" t="n">
        <f aca="false">VLOOKUP(B199,'12.ppp data'!$C$3:$J$273,7,FALSE())</f>
        <v>3.03256163278312</v>
      </c>
      <c r="D199" s="525" t="str">
        <f aca="false">IF(VLOOKUP(B199,'12.ppp data'!$C$3:$J$273,8,FALSE())="est","est","-")</f>
        <v>est</v>
      </c>
      <c r="E199" s="522" t="s">
        <v>269</v>
      </c>
      <c r="F199" s="525" t="n">
        <v>3.70833333333333</v>
      </c>
      <c r="G199" s="525" t="s">
        <v>263</v>
      </c>
      <c r="H199" s="472"/>
      <c r="J199" s="522" t="s">
        <v>622</v>
      </c>
    </row>
    <row r="200" customFormat="false" ht="9.75" hidden="false" customHeight="true" outlineLevel="0" collapsed="false">
      <c r="A200" s="522" t="str">
        <f aca="false">'12.lan'!D517</f>
        <v>SUR Suriname</v>
      </c>
      <c r="B200" s="522" t="s">
        <v>623</v>
      </c>
      <c r="C200" s="525" t="n">
        <f aca="false">VLOOKUP(B200,'12.ppp data'!$C$3:$J$273,7,FALSE())</f>
        <v>2.86873392034463</v>
      </c>
      <c r="D200" s="525" t="str">
        <f aca="false">IF(VLOOKUP(B200,'12.ppp data'!$C$3:$J$273,8,FALSE())="est","est","-")</f>
        <v>-</v>
      </c>
      <c r="E200" s="522" t="s">
        <v>262</v>
      </c>
      <c r="F200" s="525" t="n">
        <v>3.42105263157895</v>
      </c>
      <c r="G200" s="525" t="s">
        <v>263</v>
      </c>
      <c r="H200" s="472"/>
      <c r="J200" s="522" t="s">
        <v>624</v>
      </c>
    </row>
    <row r="201" customFormat="false" ht="9.75" hidden="false" customHeight="true" outlineLevel="0" collapsed="false">
      <c r="A201" s="522" t="str">
        <f aca="false">'12.lan'!D518</f>
        <v>SVK Slovakia</v>
      </c>
      <c r="B201" s="522" t="s">
        <v>625</v>
      </c>
      <c r="C201" s="525" t="n">
        <f aca="false">VLOOKUP(B201,'12.ppp data'!$C$3:$J$273,7,FALSE())</f>
        <v>2.05538861232493</v>
      </c>
      <c r="D201" s="525" t="str">
        <f aca="false">IF(VLOOKUP(B201,'12.ppp data'!$C$3:$J$273,8,FALSE())="est","est","-")</f>
        <v>-</v>
      </c>
      <c r="E201" s="522" t="s">
        <v>272</v>
      </c>
      <c r="F201" s="525" t="n">
        <v>1</v>
      </c>
      <c r="G201" s="525"/>
      <c r="H201" s="472"/>
      <c r="J201" s="522" t="s">
        <v>626</v>
      </c>
    </row>
    <row r="202" customFormat="false" ht="9.75" hidden="false" customHeight="true" outlineLevel="0" collapsed="false">
      <c r="A202" s="522" t="str">
        <f aca="false">'12.lan'!D519</f>
        <v>SVN Slovenia</v>
      </c>
      <c r="B202" s="522" t="s">
        <v>627</v>
      </c>
      <c r="C202" s="525" t="n">
        <f aca="false">VLOOKUP(B202,'12.ppp data'!$C$3:$J$273,7,FALSE())</f>
        <v>1.66195502417314</v>
      </c>
      <c r="D202" s="525" t="str">
        <f aca="false">IF(VLOOKUP(B202,'12.ppp data'!$C$3:$J$273,8,FALSE())="est","est","-")</f>
        <v>-</v>
      </c>
      <c r="E202" s="522" t="s">
        <v>272</v>
      </c>
      <c r="F202" s="525" t="n">
        <v>1</v>
      </c>
      <c r="G202" s="525"/>
      <c r="H202" s="472"/>
      <c r="J202" s="522" t="s">
        <v>628</v>
      </c>
    </row>
    <row r="203" customFormat="false" ht="9.75" hidden="false" customHeight="true" outlineLevel="0" collapsed="false">
      <c r="A203" s="522" t="str">
        <f aca="false">'12.lan'!D520</f>
        <v>SWE Sweden</v>
      </c>
      <c r="B203" s="522" t="s">
        <v>629</v>
      </c>
      <c r="C203" s="525" t="n">
        <f aca="false">VLOOKUP(B203,'12.ppp data'!$C$3:$J$273,7,FALSE())</f>
        <v>1.05723642324011</v>
      </c>
      <c r="D203" s="525" t="str">
        <f aca="false">IF(VLOOKUP(B203,'12.ppp data'!$C$3:$J$273,8,FALSE())="est","est","-")</f>
        <v>-</v>
      </c>
      <c r="E203" s="522" t="s">
        <v>272</v>
      </c>
      <c r="F203" s="525" t="n">
        <v>1</v>
      </c>
      <c r="G203" s="525"/>
      <c r="H203" s="472"/>
      <c r="J203" s="522" t="s">
        <v>630</v>
      </c>
    </row>
    <row r="204" customFormat="false" ht="9.75" hidden="false" customHeight="true" outlineLevel="0" collapsed="false">
      <c r="A204" s="522" t="str">
        <f aca="false">'12.lan'!D521</f>
        <v>SWZ Swaziland</v>
      </c>
      <c r="B204" s="522" t="s">
        <v>631</v>
      </c>
      <c r="C204" s="525" t="n">
        <f aca="false">VLOOKUP(B204,'12.ppp data'!$C$3:$J$273,7,FALSE())</f>
        <v>2.9684852436677</v>
      </c>
      <c r="D204" s="525" t="str">
        <f aca="false">IF(VLOOKUP(B204,'12.ppp data'!$C$3:$J$273,8,FALSE())="est","est","-")</f>
        <v>-</v>
      </c>
      <c r="E204" s="522" t="s">
        <v>269</v>
      </c>
      <c r="F204" s="525" t="n">
        <v>3.70833333333333</v>
      </c>
      <c r="G204" s="525" t="s">
        <v>263</v>
      </c>
      <c r="H204" s="472"/>
      <c r="J204" s="522" t="s">
        <v>632</v>
      </c>
    </row>
    <row r="205" customFormat="false" ht="9.75" hidden="false" customHeight="true" outlineLevel="0" collapsed="false">
      <c r="A205" s="522" t="str">
        <f aca="false">'12.lan'!D522</f>
        <v>SXM Sint Maarten (Dutch part)</v>
      </c>
      <c r="B205" s="522" t="s">
        <v>633</v>
      </c>
      <c r="C205" s="525" t="n">
        <f aca="false">VLOOKUP(B205,'12.ppp data'!$C$3:$J$273,7,FALSE())</f>
        <v>1.96289944979353</v>
      </c>
      <c r="D205" s="525" t="str">
        <f aca="false">IF(VLOOKUP(B205,'12.ppp data'!$C$3:$J$273,8,FALSE())="est","est","-")</f>
        <v>est</v>
      </c>
      <c r="E205" s="522" t="s">
        <v>262</v>
      </c>
      <c r="F205" s="525" t="n">
        <v>3.42105263157895</v>
      </c>
      <c r="G205" s="525" t="s">
        <v>263</v>
      </c>
      <c r="H205" s="472"/>
      <c r="I205" s="524"/>
      <c r="J205" s="522" t="s">
        <v>634</v>
      </c>
    </row>
    <row r="206" customFormat="false" ht="9.75" hidden="false" customHeight="true" outlineLevel="0" collapsed="false">
      <c r="A206" s="522" t="str">
        <f aca="false">'12.lan'!D523</f>
        <v>SYC Seychelles</v>
      </c>
      <c r="B206" s="522" t="s">
        <v>635</v>
      </c>
      <c r="C206" s="525" t="n">
        <f aca="false">VLOOKUP(B206,'12.ppp data'!$C$3:$J$273,7,FALSE())</f>
        <v>1.96703404516381</v>
      </c>
      <c r="D206" s="525" t="str">
        <f aca="false">IF(VLOOKUP(B206,'12.ppp data'!$C$3:$J$273,8,FALSE())="est","est","-")</f>
        <v>-</v>
      </c>
      <c r="E206" s="522" t="s">
        <v>269</v>
      </c>
      <c r="F206" s="525" t="n">
        <v>3.70833333333333</v>
      </c>
      <c r="G206" s="525" t="s">
        <v>263</v>
      </c>
      <c r="H206" s="472"/>
      <c r="J206" s="522" t="s">
        <v>636</v>
      </c>
    </row>
    <row r="207" customFormat="false" ht="9.75" hidden="false" customHeight="true" outlineLevel="0" collapsed="false">
      <c r="A207" s="522" t="str">
        <f aca="false">'12.lan'!D524</f>
        <v>SYR Syrian Arab Republic</v>
      </c>
      <c r="B207" s="522" t="s">
        <v>637</v>
      </c>
      <c r="C207" s="525" t="n">
        <f aca="false">VLOOKUP(B207,'12.ppp data'!$C$3:$J$273,7,FALSE())</f>
        <v>3.00272943672245</v>
      </c>
      <c r="D207" s="525" t="str">
        <f aca="false">IF(VLOOKUP(B207,'12.ppp data'!$C$3:$J$273,8,FALSE())="est","est","-")</f>
        <v>est</v>
      </c>
      <c r="E207" s="522" t="s">
        <v>266</v>
      </c>
      <c r="F207" s="525" t="n">
        <v>4.17857142857143</v>
      </c>
      <c r="G207" s="525" t="s">
        <v>263</v>
      </c>
      <c r="H207" s="472"/>
      <c r="J207" s="522" t="s">
        <v>638</v>
      </c>
    </row>
    <row r="208" customFormat="false" ht="9.75" hidden="false" customHeight="true" outlineLevel="0" collapsed="false">
      <c r="A208" s="522" t="str">
        <f aca="false">'12.lan'!D525</f>
        <v>TCA Turks and Caicos Islands</v>
      </c>
      <c r="B208" s="522" t="s">
        <v>639</v>
      </c>
      <c r="C208" s="525" t="n">
        <f aca="false">VLOOKUP(B208,'12.ppp data'!$C$3:$J$273,7,FALSE())</f>
        <v>1.96289944979353</v>
      </c>
      <c r="D208" s="525" t="str">
        <f aca="false">IF(VLOOKUP(B208,'12.ppp data'!$C$3:$J$273,8,FALSE())="est","est","-")</f>
        <v>est</v>
      </c>
      <c r="E208" s="522" t="s">
        <v>262</v>
      </c>
      <c r="F208" s="525" t="n">
        <v>3.42105263157895</v>
      </c>
      <c r="G208" s="525" t="s">
        <v>263</v>
      </c>
      <c r="H208" s="472"/>
      <c r="J208" s="522" t="s">
        <v>640</v>
      </c>
    </row>
    <row r="209" customFormat="false" ht="9.75" hidden="false" customHeight="true" outlineLevel="0" collapsed="false">
      <c r="A209" s="522" t="str">
        <f aca="false">'12.lan'!D526</f>
        <v>TCD Chad</v>
      </c>
      <c r="B209" s="522" t="s">
        <v>641</v>
      </c>
      <c r="C209" s="525" t="n">
        <f aca="false">VLOOKUP(B209,'12.ppp data'!$C$3:$J$273,7,FALSE())</f>
        <v>3.27192380698926</v>
      </c>
      <c r="D209" s="525" t="str">
        <f aca="false">IF(VLOOKUP(B209,'12.ppp data'!$C$3:$J$273,8,FALSE())="est","est","-")</f>
        <v>-</v>
      </c>
      <c r="E209" s="522" t="s">
        <v>269</v>
      </c>
      <c r="F209" s="525" t="n">
        <v>3</v>
      </c>
      <c r="G209" s="525"/>
      <c r="H209" s="472"/>
      <c r="J209" s="522" t="s">
        <v>642</v>
      </c>
    </row>
    <row r="210" customFormat="false" ht="9.75" hidden="false" customHeight="true" outlineLevel="0" collapsed="false">
      <c r="A210" s="522" t="str">
        <f aca="false">'12.lan'!D527</f>
        <v>TGO Togo</v>
      </c>
      <c r="B210" s="522" t="s">
        <v>643</v>
      </c>
      <c r="C210" s="525" t="n">
        <f aca="false">VLOOKUP(B210,'12.ppp data'!$C$3:$J$273,7,FALSE())</f>
        <v>2.870177332468</v>
      </c>
      <c r="D210" s="525" t="str">
        <f aca="false">IF(VLOOKUP(B210,'12.ppp data'!$C$3:$J$273,8,FALSE())="est","est","-")</f>
        <v>-</v>
      </c>
      <c r="E210" s="522" t="s">
        <v>269</v>
      </c>
      <c r="F210" s="525" t="n">
        <v>3.70833333333333</v>
      </c>
      <c r="G210" s="525" t="s">
        <v>263</v>
      </c>
      <c r="H210" s="472"/>
      <c r="J210" s="522" t="s">
        <v>644</v>
      </c>
    </row>
    <row r="211" customFormat="false" ht="9.75" hidden="false" customHeight="true" outlineLevel="0" collapsed="false">
      <c r="A211" s="522" t="str">
        <f aca="false">'12.lan'!D528</f>
        <v>THA Thailand</v>
      </c>
      <c r="B211" s="522" t="s">
        <v>645</v>
      </c>
      <c r="C211" s="525" t="n">
        <f aca="false">VLOOKUP(B211,'12.ppp data'!$C$3:$J$273,7,FALSE())</f>
        <v>3.0545723851266</v>
      </c>
      <c r="D211" s="525" t="str">
        <f aca="false">IF(VLOOKUP(B211,'12.ppp data'!$C$3:$J$273,8,FALSE())="est","est","-")</f>
        <v>-</v>
      </c>
      <c r="E211" s="522" t="s">
        <v>266</v>
      </c>
      <c r="F211" s="525" t="n">
        <v>4</v>
      </c>
      <c r="G211" s="525"/>
      <c r="H211" s="472"/>
      <c r="J211" s="522" t="s">
        <v>646</v>
      </c>
    </row>
    <row r="212" customFormat="false" ht="9.75" hidden="false" customHeight="true" outlineLevel="0" collapsed="false">
      <c r="A212" s="522" t="str">
        <f aca="false">'12.lan'!D529</f>
        <v>TJK Tajikistan</v>
      </c>
      <c r="B212" s="522" t="s">
        <v>647</v>
      </c>
      <c r="C212" s="525" t="n">
        <f aca="false">VLOOKUP(B212,'12.ppp data'!$C$3:$J$273,7,FALSE())</f>
        <v>4.45444809050921</v>
      </c>
      <c r="D212" s="525" t="str">
        <f aca="false">IF(VLOOKUP(B212,'12.ppp data'!$C$3:$J$273,8,FALSE())="est","est","-")</f>
        <v>-</v>
      </c>
      <c r="E212" s="522" t="s">
        <v>266</v>
      </c>
      <c r="F212" s="525" t="n">
        <v>4.17857142857143</v>
      </c>
      <c r="G212" s="525" t="s">
        <v>263</v>
      </c>
      <c r="H212" s="472"/>
      <c r="J212" s="522" t="s">
        <v>648</v>
      </c>
    </row>
    <row r="213" customFormat="false" ht="9.75" hidden="false" customHeight="true" outlineLevel="0" collapsed="false">
      <c r="A213" s="522" t="str">
        <f aca="false">'12.lan'!D530</f>
        <v>TKM Turkmenistan</v>
      </c>
      <c r="B213" s="522" t="s">
        <v>649</v>
      </c>
      <c r="C213" s="525" t="n">
        <f aca="false">VLOOKUP(B213,'12.ppp data'!$C$3:$J$273,7,FALSE())</f>
        <v>2.69286416638208</v>
      </c>
      <c r="D213" s="525" t="str">
        <f aca="false">IF(VLOOKUP(B213,'12.ppp data'!$C$3:$J$273,8,FALSE())="est","est","-")</f>
        <v>-</v>
      </c>
      <c r="E213" s="522" t="s">
        <v>266</v>
      </c>
      <c r="F213" s="525" t="n">
        <v>4.17857142857143</v>
      </c>
      <c r="G213" s="525" t="s">
        <v>263</v>
      </c>
      <c r="H213" s="472"/>
      <c r="J213" s="522" t="s">
        <v>650</v>
      </c>
    </row>
    <row r="214" customFormat="false" ht="9.75" hidden="false" customHeight="true" outlineLevel="0" collapsed="false">
      <c r="A214" s="522" t="str">
        <f aca="false">'12.lan'!D531</f>
        <v>TLS Timor-Leste</v>
      </c>
      <c r="B214" s="522" t="s">
        <v>651</v>
      </c>
      <c r="C214" s="525" t="n">
        <f aca="false">VLOOKUP(B214,'12.ppp data'!$C$3:$J$273,7,FALSE())</f>
        <v>3.57442983561029</v>
      </c>
      <c r="D214" s="525" t="str">
        <f aca="false">IF(VLOOKUP(B214,'12.ppp data'!$C$3:$J$273,8,FALSE())="est","est","-")</f>
        <v>-</v>
      </c>
      <c r="E214" s="522" t="s">
        <v>266</v>
      </c>
      <c r="F214" s="525" t="n">
        <v>4.17857142857143</v>
      </c>
      <c r="G214" s="525" t="s">
        <v>263</v>
      </c>
      <c r="H214" s="472"/>
      <c r="J214" s="522" t="s">
        <v>652</v>
      </c>
    </row>
    <row r="215" customFormat="false" ht="9.75" hidden="false" customHeight="true" outlineLevel="0" collapsed="false">
      <c r="A215" s="522" t="str">
        <f aca="false">'12.lan'!D532</f>
        <v>TON Tonga</v>
      </c>
      <c r="B215" s="522" t="s">
        <v>653</v>
      </c>
      <c r="C215" s="525" t="n">
        <f aca="false">VLOOKUP(B215,'12.ppp data'!$C$3:$J$273,7,FALSE())</f>
        <v>1.74882856259574</v>
      </c>
      <c r="D215" s="525" t="str">
        <f aca="false">IF(VLOOKUP(B215,'12.ppp data'!$C$3:$J$273,8,FALSE())="est","est","-")</f>
        <v>-</v>
      </c>
      <c r="E215" s="522" t="s">
        <v>283</v>
      </c>
      <c r="F215" s="525" t="n">
        <v>3</v>
      </c>
      <c r="G215" s="525" t="s">
        <v>263</v>
      </c>
      <c r="H215" s="472"/>
      <c r="J215" s="522" t="s">
        <v>654</v>
      </c>
    </row>
    <row r="216" customFormat="false" ht="9.75" hidden="false" customHeight="true" outlineLevel="0" collapsed="false">
      <c r="A216" s="522" t="str">
        <f aca="false">'12.lan'!D533</f>
        <v>TTO Trinidad and Tobago</v>
      </c>
      <c r="B216" s="522" t="s">
        <v>655</v>
      </c>
      <c r="C216" s="525" t="n">
        <f aca="false">VLOOKUP(B216,'12.ppp data'!$C$3:$J$273,7,FALSE())</f>
        <v>2.1624826708371</v>
      </c>
      <c r="D216" s="525" t="str">
        <f aca="false">IF(VLOOKUP(B216,'12.ppp data'!$C$3:$J$273,8,FALSE())="est","est","-")</f>
        <v>-</v>
      </c>
      <c r="E216" s="522" t="s">
        <v>262</v>
      </c>
      <c r="F216" s="525" t="n">
        <v>3.42105263157895</v>
      </c>
      <c r="G216" s="525" t="s">
        <v>263</v>
      </c>
      <c r="H216" s="472"/>
      <c r="J216" s="522" t="s">
        <v>656</v>
      </c>
    </row>
    <row r="217" customFormat="false" ht="9.75" hidden="false" customHeight="true" outlineLevel="0" collapsed="false">
      <c r="A217" s="522" t="str">
        <f aca="false">'12.lan'!D534</f>
        <v>TUN Tunisia</v>
      </c>
      <c r="B217" s="522" t="s">
        <v>657</v>
      </c>
      <c r="C217" s="525" t="n">
        <f aca="false">VLOOKUP(B217,'12.ppp data'!$C$3:$J$273,7,FALSE())</f>
        <v>3.81299347501787</v>
      </c>
      <c r="D217" s="525" t="str">
        <f aca="false">IF(VLOOKUP(B217,'12.ppp data'!$C$3:$J$273,8,FALSE())="est","est","-")</f>
        <v>-</v>
      </c>
      <c r="E217" s="522" t="s">
        <v>269</v>
      </c>
      <c r="F217" s="525" t="n">
        <v>3.70833333333333</v>
      </c>
      <c r="G217" s="525" t="s">
        <v>263</v>
      </c>
      <c r="H217" s="472"/>
      <c r="J217" s="522" t="s">
        <v>658</v>
      </c>
    </row>
    <row r="218" customFormat="false" ht="9.75" hidden="false" customHeight="true" outlineLevel="0" collapsed="false">
      <c r="A218" s="522" t="str">
        <f aca="false">'12.lan'!D535</f>
        <v>TUR Turkey</v>
      </c>
      <c r="B218" s="522" t="s">
        <v>659</v>
      </c>
      <c r="C218" s="525" t="n">
        <f aca="false">VLOOKUP(B218,'12.ppp data'!$C$3:$J$273,7,FALSE())</f>
        <v>2.98746103438262</v>
      </c>
      <c r="D218" s="525" t="str">
        <f aca="false">IF(VLOOKUP(B218,'12.ppp data'!$C$3:$J$273,8,FALSE())="est","est","-")</f>
        <v>-</v>
      </c>
      <c r="E218" s="522" t="s">
        <v>266</v>
      </c>
      <c r="F218" s="525" t="n">
        <v>5</v>
      </c>
      <c r="G218" s="525"/>
      <c r="H218" s="472"/>
      <c r="J218" s="522" t="s">
        <v>660</v>
      </c>
    </row>
    <row r="219" customFormat="false" ht="9.75" hidden="false" customHeight="true" outlineLevel="0" collapsed="false">
      <c r="A219" s="522" t="str">
        <f aca="false">'12.lan'!D536</f>
        <v>TUV Tuvalu</v>
      </c>
      <c r="B219" s="522" t="s">
        <v>661</v>
      </c>
      <c r="C219" s="525" t="n">
        <f aca="false">VLOOKUP(B219,'12.ppp data'!$C$3:$J$273,7,FALSE())</f>
        <v>1.25792177772362</v>
      </c>
      <c r="D219" s="525" t="str">
        <f aca="false">IF(VLOOKUP(B219,'12.ppp data'!$C$3:$J$273,8,FALSE())="est","est","-")</f>
        <v>-</v>
      </c>
      <c r="E219" s="522" t="s">
        <v>283</v>
      </c>
      <c r="F219" s="525" t="n">
        <v>3</v>
      </c>
      <c r="G219" s="525" t="s">
        <v>263</v>
      </c>
      <c r="H219" s="472"/>
      <c r="J219" s="522" t="s">
        <v>662</v>
      </c>
    </row>
    <row r="220" customFormat="false" ht="9.75" hidden="false" customHeight="true" outlineLevel="0" collapsed="false">
      <c r="A220" s="522" t="str">
        <f aca="false">'12.lan'!D537</f>
        <v>TZA Tanzania, United Republic of</v>
      </c>
      <c r="B220" s="522" t="s">
        <v>663</v>
      </c>
      <c r="C220" s="525" t="n">
        <f aca="false">VLOOKUP(B220,'12.ppp data'!$C$3:$J$273,7,FALSE())</f>
        <v>3.51393292517737</v>
      </c>
      <c r="D220" s="525" t="str">
        <f aca="false">IF(VLOOKUP(B220,'12.ppp data'!$C$3:$J$273,8,FALSE())="est","est","-")</f>
        <v>-</v>
      </c>
      <c r="E220" s="522" t="s">
        <v>269</v>
      </c>
      <c r="F220" s="525" t="n">
        <v>3</v>
      </c>
      <c r="G220" s="525"/>
      <c r="H220" s="472"/>
      <c r="J220" s="522" t="s">
        <v>664</v>
      </c>
    </row>
    <row r="221" customFormat="false" ht="9.75" hidden="false" customHeight="true" outlineLevel="0" collapsed="false">
      <c r="A221" s="522" t="str">
        <f aca="false">'12.lan'!D538</f>
        <v>UGA Uganda</v>
      </c>
      <c r="B221" s="522" t="s">
        <v>665</v>
      </c>
      <c r="C221" s="525" t="n">
        <f aca="false">VLOOKUP(B221,'12.ppp data'!$C$3:$J$273,7,FALSE())</f>
        <v>3.52833705552021</v>
      </c>
      <c r="D221" s="525" t="str">
        <f aca="false">IF(VLOOKUP(B221,'12.ppp data'!$C$3:$J$273,8,FALSE())="est","est","-")</f>
        <v>-</v>
      </c>
      <c r="E221" s="522" t="s">
        <v>269</v>
      </c>
      <c r="F221" s="525" t="n">
        <v>3</v>
      </c>
      <c r="G221" s="525"/>
      <c r="H221" s="472"/>
      <c r="J221" s="522" t="s">
        <v>666</v>
      </c>
    </row>
    <row r="222" customFormat="false" ht="9.75" hidden="false" customHeight="true" outlineLevel="0" collapsed="false">
      <c r="A222" s="522" t="str">
        <f aca="false">'12.lan'!D539</f>
        <v>UKR Ukraine</v>
      </c>
      <c r="B222" s="522" t="s">
        <v>667</v>
      </c>
      <c r="C222" s="525" t="n">
        <f aca="false">VLOOKUP(B222,'12.ppp data'!$C$3:$J$273,7,FALSE())</f>
        <v>3.68188875221352</v>
      </c>
      <c r="D222" s="525" t="str">
        <f aca="false">IF(VLOOKUP(B222,'12.ppp data'!$C$3:$J$273,8,FALSE())="est","est","-")</f>
        <v>-</v>
      </c>
      <c r="E222" s="522" t="s">
        <v>272</v>
      </c>
      <c r="F222" s="525" t="n">
        <v>6</v>
      </c>
      <c r="G222" s="525"/>
      <c r="H222" s="472"/>
      <c r="J222" s="522" t="s">
        <v>668</v>
      </c>
    </row>
    <row r="223" customFormat="false" ht="9.75" hidden="false" customHeight="true" outlineLevel="0" collapsed="false">
      <c r="A223" s="522" t="str">
        <f aca="false">'12.lan'!D540</f>
        <v>URY Uruguay</v>
      </c>
      <c r="B223" s="522" t="s">
        <v>669</v>
      </c>
      <c r="C223" s="525" t="n">
        <f aca="false">VLOOKUP(B223,'12.ppp data'!$C$3:$J$273,7,FALSE())</f>
        <v>1.46570022305667</v>
      </c>
      <c r="D223" s="525" t="str">
        <f aca="false">IF(VLOOKUP(B223,'12.ppp data'!$C$3:$J$273,8,FALSE())="est","est","-")</f>
        <v>-</v>
      </c>
      <c r="E223" s="522" t="s">
        <v>262</v>
      </c>
      <c r="F223" s="525" t="n">
        <v>1</v>
      </c>
      <c r="G223" s="525"/>
      <c r="H223" s="472"/>
      <c r="J223" s="522" t="s">
        <v>670</v>
      </c>
    </row>
    <row r="224" customFormat="false" ht="9.75" hidden="false" customHeight="true" outlineLevel="0" collapsed="false">
      <c r="A224" s="522" t="str">
        <f aca="false">'12.lan'!D541</f>
        <v>USA United States</v>
      </c>
      <c r="B224" s="522" t="s">
        <v>671</v>
      </c>
      <c r="C224" s="525" t="n">
        <f aca="false">VLOOKUP(B224,'12.ppp data'!$C$3:$J$273,7,FALSE())</f>
        <v>1.12949</v>
      </c>
      <c r="D224" s="525" t="str">
        <f aca="false">IF(VLOOKUP(B224,'12.ppp data'!$C$3:$J$273,8,FALSE())="est","est","-")</f>
        <v>-</v>
      </c>
      <c r="E224" s="522" t="s">
        <v>262</v>
      </c>
      <c r="F224" s="525" t="n">
        <v>4</v>
      </c>
      <c r="G224" s="525"/>
      <c r="H224" s="472"/>
      <c r="J224" s="522" t="s">
        <v>672</v>
      </c>
    </row>
    <row r="225" customFormat="false" ht="9.75" hidden="false" customHeight="true" outlineLevel="0" collapsed="false">
      <c r="A225" s="522" t="str">
        <f aca="false">'12.lan'!D542</f>
        <v>UZB Uzbekistan</v>
      </c>
      <c r="B225" s="522" t="s">
        <v>673</v>
      </c>
      <c r="C225" s="525" t="n">
        <f aca="false">VLOOKUP(B225,'12.ppp data'!$C$3:$J$273,7,FALSE())</f>
        <v>5.11089127208673</v>
      </c>
      <c r="D225" s="525" t="str">
        <f aca="false">IF(VLOOKUP(B225,'12.ppp data'!$C$3:$J$273,8,FALSE())="est","est","-")</f>
        <v>-</v>
      </c>
      <c r="E225" s="522" t="s">
        <v>266</v>
      </c>
      <c r="F225" s="525" t="n">
        <v>4.17857142857143</v>
      </c>
      <c r="G225" s="525" t="s">
        <v>263</v>
      </c>
      <c r="H225" s="472"/>
      <c r="J225" s="522" t="s">
        <v>674</v>
      </c>
    </row>
    <row r="226" customFormat="false" ht="9.75" hidden="false" customHeight="true" outlineLevel="0" collapsed="false">
      <c r="A226" s="522" t="str">
        <f aca="false">'12.lan'!D543</f>
        <v>VCT Saint Vincent and the Grenadines</v>
      </c>
      <c r="B226" s="522" t="s">
        <v>675</v>
      </c>
      <c r="C226" s="525" t="n">
        <f aca="false">VLOOKUP(B226,'12.ppp data'!$C$3:$J$273,7,FALSE())</f>
        <v>1.85128745821471</v>
      </c>
      <c r="D226" s="525" t="str">
        <f aca="false">IF(VLOOKUP(B226,'12.ppp data'!$C$3:$J$273,8,FALSE())="est","est","-")</f>
        <v>-</v>
      </c>
      <c r="E226" s="522" t="s">
        <v>262</v>
      </c>
      <c r="F226" s="525" t="n">
        <v>3.42105263157895</v>
      </c>
      <c r="G226" s="525" t="s">
        <v>263</v>
      </c>
      <c r="H226" s="472"/>
      <c r="J226" s="522" t="s">
        <v>676</v>
      </c>
    </row>
    <row r="227" customFormat="false" ht="9.75" hidden="false" customHeight="true" outlineLevel="0" collapsed="false">
      <c r="A227" s="522" t="str">
        <f aca="false">'12.lan'!D544</f>
        <v>VEN Venezuela, Bolivarian Republic of</v>
      </c>
      <c r="B227" s="522" t="s">
        <v>677</v>
      </c>
      <c r="C227" s="525" t="n">
        <f aca="false">VLOOKUP(B227,'12.ppp data'!$C$3:$J$273,7,FALSE())</f>
        <v>1.96289944979353</v>
      </c>
      <c r="D227" s="525" t="str">
        <f aca="false">IF(VLOOKUP(B227,'12.ppp data'!$C$3:$J$273,8,FALSE())="est","est","-")</f>
        <v>est</v>
      </c>
      <c r="E227" s="522" t="s">
        <v>262</v>
      </c>
      <c r="F227" s="525" t="n">
        <v>3</v>
      </c>
      <c r="G227" s="525"/>
      <c r="H227" s="472"/>
      <c r="J227" s="522" t="s">
        <v>678</v>
      </c>
    </row>
    <row r="228" customFormat="false" ht="9.75" hidden="false" customHeight="true" outlineLevel="0" collapsed="false">
      <c r="A228" s="522" t="str">
        <f aca="false">'12.lan'!D545</f>
        <v>VGB Virgin Islands, British</v>
      </c>
      <c r="B228" s="522" t="s">
        <v>679</v>
      </c>
      <c r="C228" s="525" t="n">
        <f aca="false">VLOOKUP(B228,'12.ppp data'!$C$3:$J$273,7,FALSE())</f>
        <v>1.96289944979353</v>
      </c>
      <c r="D228" s="525" t="str">
        <f aca="false">IF(VLOOKUP(B228,'12.ppp data'!$C$3:$J$273,8,FALSE())="est","est","-")</f>
        <v>est</v>
      </c>
      <c r="E228" s="522" t="s">
        <v>262</v>
      </c>
      <c r="F228" s="525" t="n">
        <v>3.42105263157895</v>
      </c>
      <c r="G228" s="525" t="s">
        <v>263</v>
      </c>
      <c r="H228" s="472"/>
      <c r="J228" s="522" t="s">
        <v>680</v>
      </c>
    </row>
    <row r="229" customFormat="false" ht="9.75" hidden="false" customHeight="true" outlineLevel="0" collapsed="false">
      <c r="A229" s="522" t="str">
        <f aca="false">'12.lan'!D546</f>
        <v>VIR Virgin Islands, U.S.</v>
      </c>
      <c r="B229" s="522" t="s">
        <v>681</v>
      </c>
      <c r="C229" s="525" t="n">
        <f aca="false">VLOOKUP(B229,'12.ppp data'!$C$3:$J$273,7,FALSE())</f>
        <v>1.96289944979353</v>
      </c>
      <c r="D229" s="525" t="str">
        <f aca="false">IF(VLOOKUP(B229,'12.ppp data'!$C$3:$J$273,8,FALSE())="est","est","-")</f>
        <v>est</v>
      </c>
      <c r="E229" s="522" t="s">
        <v>262</v>
      </c>
      <c r="F229" s="525" t="n">
        <v>3.42105263157895</v>
      </c>
      <c r="G229" s="525" t="s">
        <v>263</v>
      </c>
      <c r="H229" s="472"/>
      <c r="J229" s="522" t="s">
        <v>682</v>
      </c>
    </row>
    <row r="230" customFormat="false" ht="9.75" hidden="false" customHeight="true" outlineLevel="0" collapsed="false">
      <c r="A230" s="522" t="str">
        <f aca="false">'12.lan'!D547</f>
        <v>VNM Viet Nam</v>
      </c>
      <c r="B230" s="522" t="s">
        <v>683</v>
      </c>
      <c r="C230" s="525" t="n">
        <f aca="false">VLOOKUP(B230,'12.ppp data'!$C$3:$J$273,7,FALSE())</f>
        <v>3.27883966964401</v>
      </c>
      <c r="D230" s="525" t="str">
        <f aca="false">IF(VLOOKUP(B230,'12.ppp data'!$C$3:$J$273,8,FALSE())="est","est","-")</f>
        <v>-</v>
      </c>
      <c r="E230" s="522" t="s">
        <v>266</v>
      </c>
      <c r="F230" s="525" t="n">
        <v>4.17857142857143</v>
      </c>
      <c r="G230" s="525" t="s">
        <v>263</v>
      </c>
      <c r="H230" s="472"/>
      <c r="J230" s="522" t="s">
        <v>684</v>
      </c>
    </row>
    <row r="231" customFormat="false" ht="9.75" hidden="false" customHeight="true" outlineLevel="0" collapsed="false">
      <c r="A231" s="522" t="str">
        <f aca="false">'12.lan'!D548</f>
        <v>VUT Vanuatu</v>
      </c>
      <c r="B231" s="522" t="s">
        <v>685</v>
      </c>
      <c r="C231" s="525" t="n">
        <f aca="false">VLOOKUP(B231,'12.ppp data'!$C$3:$J$273,7,FALSE())</f>
        <v>1.15944366563601</v>
      </c>
      <c r="D231" s="525" t="str">
        <f aca="false">IF(VLOOKUP(B231,'12.ppp data'!$C$3:$J$273,8,FALSE())="est","est","-")</f>
        <v>-</v>
      </c>
      <c r="E231" s="522" t="s">
        <v>283</v>
      </c>
      <c r="F231" s="525" t="n">
        <v>3</v>
      </c>
      <c r="G231" s="525" t="s">
        <v>263</v>
      </c>
      <c r="H231" s="472"/>
      <c r="J231" s="522" t="s">
        <v>686</v>
      </c>
    </row>
    <row r="232" customFormat="false" ht="9.75" hidden="false" customHeight="true" outlineLevel="0" collapsed="false">
      <c r="A232" s="522" t="str">
        <f aca="false">'12.lan'!D549</f>
        <v>WSM Samoa</v>
      </c>
      <c r="B232" s="522" t="s">
        <v>687</v>
      </c>
      <c r="C232" s="525" t="n">
        <f aca="false">VLOOKUP(B232,'12.ppp data'!$C$3:$J$273,7,FALSE())</f>
        <v>0.687662221419364</v>
      </c>
      <c r="D232" s="525" t="str">
        <f aca="false">IF(VLOOKUP(B232,'12.ppp data'!$C$3:$J$273,8,FALSE())="est","est","-")</f>
        <v>-</v>
      </c>
      <c r="E232" s="522" t="s">
        <v>283</v>
      </c>
      <c r="F232" s="525" t="n">
        <v>3</v>
      </c>
      <c r="G232" s="525" t="s">
        <v>263</v>
      </c>
      <c r="H232" s="472"/>
      <c r="J232" s="522" t="s">
        <v>688</v>
      </c>
    </row>
    <row r="233" customFormat="false" ht="9.75" hidden="false" customHeight="true" outlineLevel="0" collapsed="false">
      <c r="A233" s="522" t="str">
        <f aca="false">'12.lan'!D550</f>
        <v>XKX Kosovo</v>
      </c>
      <c r="B233" s="522" t="s">
        <v>689</v>
      </c>
      <c r="C233" s="525" t="n">
        <f aca="false">VLOOKUP(B233,'12.ppp data'!$C$3:$J$273,7,FALSE())</f>
        <v>3.51525356456448</v>
      </c>
      <c r="D233" s="525" t="str">
        <f aca="false">IF(VLOOKUP(B233,'12.ppp data'!$C$3:$J$273,8,FALSE())="est","est","-")</f>
        <v>-</v>
      </c>
      <c r="E233" s="522" t="s">
        <v>272</v>
      </c>
      <c r="F233" s="525" t="n">
        <v>2</v>
      </c>
      <c r="G233" s="525" t="s">
        <v>263</v>
      </c>
      <c r="H233" s="472"/>
      <c r="J233" s="522" t="s">
        <v>690</v>
      </c>
    </row>
    <row r="234" customFormat="false" ht="9.75" hidden="false" customHeight="true" outlineLevel="0" collapsed="false">
      <c r="A234" s="522" t="str">
        <f aca="false">'12.lan'!D551</f>
        <v>YEM Yemen</v>
      </c>
      <c r="B234" s="522" t="s">
        <v>691</v>
      </c>
      <c r="C234" s="525" t="n">
        <f aca="false">VLOOKUP(B234,'12.ppp data'!$C$3:$J$273,7,FALSE())</f>
        <v>3.00272943672245</v>
      </c>
      <c r="D234" s="525" t="str">
        <f aca="false">IF(VLOOKUP(B234,'12.ppp data'!$C$3:$J$273,8,FALSE())="est","est","-")</f>
        <v>est</v>
      </c>
      <c r="E234" s="522" t="s">
        <v>266</v>
      </c>
      <c r="F234" s="525" t="n">
        <v>4.17857142857143</v>
      </c>
      <c r="G234" s="525" t="s">
        <v>263</v>
      </c>
      <c r="H234" s="472"/>
      <c r="J234" s="522" t="s">
        <v>692</v>
      </c>
    </row>
    <row r="235" customFormat="false" ht="9.75" hidden="false" customHeight="true" outlineLevel="0" collapsed="false">
      <c r="A235" s="522" t="str">
        <f aca="false">'12.lan'!D552</f>
        <v>ZAF South Africa</v>
      </c>
      <c r="B235" s="522" t="s">
        <v>693</v>
      </c>
      <c r="C235" s="525" t="n">
        <f aca="false">VLOOKUP(B235,'12.ppp data'!$C$3:$J$273,7,FALSE())</f>
        <v>2.47213265312851</v>
      </c>
      <c r="D235" s="525" t="str">
        <f aca="false">IF(VLOOKUP(B235,'12.ppp data'!$C$3:$J$273,8,FALSE())="est","est","-")</f>
        <v>-</v>
      </c>
      <c r="E235" s="522" t="s">
        <v>269</v>
      </c>
      <c r="F235" s="525" t="n">
        <v>1</v>
      </c>
      <c r="G235" s="525"/>
      <c r="H235" s="472"/>
      <c r="I235" s="524"/>
      <c r="J235" s="522" t="s">
        <v>694</v>
      </c>
    </row>
    <row r="236" customFormat="false" ht="9.75" hidden="false" customHeight="true" outlineLevel="0" collapsed="false">
      <c r="A236" s="522" t="str">
        <f aca="false">'12.lan'!D553</f>
        <v>ZMB Zambia</v>
      </c>
      <c r="B236" s="522" t="s">
        <v>695</v>
      </c>
      <c r="C236" s="525" t="n">
        <f aca="false">VLOOKUP(B236,'12.ppp data'!$C$3:$J$273,7,FALSE())</f>
        <v>3.02176670175857</v>
      </c>
      <c r="D236" s="525" t="str">
        <f aca="false">IF(VLOOKUP(B236,'12.ppp data'!$C$3:$J$273,8,FALSE())="est","est","-")</f>
        <v>-</v>
      </c>
      <c r="E236" s="522" t="s">
        <v>269</v>
      </c>
      <c r="F236" s="525" t="n">
        <v>5</v>
      </c>
      <c r="G236" s="525"/>
      <c r="H236" s="472"/>
      <c r="J236" s="522" t="s">
        <v>696</v>
      </c>
    </row>
    <row r="237" customFormat="false" ht="9.75" hidden="false" customHeight="true" outlineLevel="0" collapsed="false">
      <c r="A237" s="522" t="str">
        <f aca="false">'12.lan'!D554</f>
        <v>ZWE Zimbabwe</v>
      </c>
      <c r="B237" s="522" t="s">
        <v>697</v>
      </c>
      <c r="C237" s="525" t="n">
        <f aca="false">VLOOKUP(B237,'12.ppp data'!$C$3:$J$273,7,FALSE())</f>
        <v>3.03256163278312</v>
      </c>
      <c r="D237" s="525" t="str">
        <f aca="false">IF(VLOOKUP(B237,'12.ppp data'!$C$3:$J$273,8,FALSE())="est","est","-")</f>
        <v>est</v>
      </c>
      <c r="E237" s="522" t="s">
        <v>269</v>
      </c>
      <c r="F237" s="525" t="n">
        <v>5</v>
      </c>
      <c r="G237" s="525"/>
      <c r="H237" s="472"/>
      <c r="J237" s="522" t="s">
        <v>698</v>
      </c>
    </row>
    <row r="238" customFormat="false" ht="9.75" hidden="false" customHeight="true" outlineLevel="0" collapsed="false">
      <c r="A238" s="522" t="str">
        <f aca="false">'12.lan'!D555</f>
        <v>Average Africa</v>
      </c>
      <c r="B238" s="522" t="s">
        <v>269</v>
      </c>
      <c r="C238" s="528" t="n">
        <f aca="false">'12.ppp data'!K3</f>
        <v>3.03256163278312</v>
      </c>
      <c r="D238" s="528"/>
      <c r="E238" s="522"/>
      <c r="F238" s="528" t="n">
        <v>3.70833333333333</v>
      </c>
      <c r="G238" s="522"/>
      <c r="H238" s="472"/>
      <c r="J238" s="522" t="s">
        <v>699</v>
      </c>
    </row>
    <row r="239" customFormat="false" ht="9.75" hidden="false" customHeight="true" outlineLevel="0" collapsed="false">
      <c r="A239" s="522" t="str">
        <f aca="false">'12.lan'!D556</f>
        <v>Average Americas</v>
      </c>
      <c r="B239" s="522" t="s">
        <v>262</v>
      </c>
      <c r="C239" s="528" t="n">
        <f aca="false">'12.ppp data'!K57</f>
        <v>1.96289944979353</v>
      </c>
      <c r="D239" s="528"/>
      <c r="E239" s="522"/>
      <c r="F239" s="525" t="n">
        <v>3.42105263157895</v>
      </c>
      <c r="G239" s="522"/>
      <c r="H239" s="472"/>
      <c r="J239" s="522" t="s">
        <v>700</v>
      </c>
    </row>
    <row r="240" customFormat="false" ht="9.75" hidden="false" customHeight="true" outlineLevel="0" collapsed="false">
      <c r="A240" s="522" t="str">
        <f aca="false">'12.lan'!D557</f>
        <v>Average Asia</v>
      </c>
      <c r="B240" s="529" t="s">
        <v>266</v>
      </c>
      <c r="C240" s="528" t="n">
        <f aca="false">'12.ppp data'!K103</f>
        <v>3.00272943672245</v>
      </c>
      <c r="D240" s="529"/>
      <c r="E240" s="522"/>
      <c r="F240" s="528" t="n">
        <v>4.17857142857143</v>
      </c>
      <c r="G240" s="522"/>
      <c r="H240" s="472"/>
      <c r="J240" s="522" t="s">
        <v>701</v>
      </c>
    </row>
    <row r="241" customFormat="false" ht="9.75" hidden="false" customHeight="true" outlineLevel="0" collapsed="false">
      <c r="A241" s="522" t="str">
        <f aca="false">'12.lan'!D558</f>
        <v>Average Europe</v>
      </c>
      <c r="B241" s="522" t="s">
        <v>272</v>
      </c>
      <c r="C241" s="528" t="n">
        <f aca="false">'12.ppp data'!K153</f>
        <v>1.93286164519776</v>
      </c>
      <c r="D241" s="528"/>
      <c r="E241" s="522"/>
      <c r="F241" s="528" t="n">
        <v>2</v>
      </c>
      <c r="G241" s="522"/>
      <c r="H241" s="472"/>
      <c r="J241" s="522" t="s">
        <v>702</v>
      </c>
    </row>
    <row r="242" customFormat="false" ht="9.75" hidden="false" customHeight="true" outlineLevel="0" collapsed="false">
      <c r="A242" s="522" t="str">
        <f aca="false">'12.lan'!D559</f>
        <v>Average Oceania</v>
      </c>
      <c r="B242" s="529" t="s">
        <v>283</v>
      </c>
      <c r="C242" s="528" t="n">
        <f aca="false">'12.ppp data'!K200</f>
        <v>1.35633083709363</v>
      </c>
      <c r="D242" s="528"/>
      <c r="E242" s="522"/>
      <c r="F242" s="528" t="n">
        <v>3</v>
      </c>
      <c r="G242" s="522"/>
      <c r="H242" s="472"/>
      <c r="J242" s="522" t="s">
        <v>703</v>
      </c>
    </row>
    <row r="243" s="471" customFormat="true" ht="9.75" hidden="false" customHeight="true" outlineLevel="0" collapsed="false">
      <c r="A243" s="522" t="n">
        <f aca="false">'12.lan'!D560</f>
        <v>0</v>
      </c>
      <c r="C243" s="471" t="n">
        <v>0.978035862587365</v>
      </c>
      <c r="E243" s="530"/>
      <c r="F243" s="530" t="n">
        <v>3.23809523809524</v>
      </c>
      <c r="G243" s="531"/>
      <c r="H243" s="472"/>
      <c r="J243" s="471" t="s">
        <v>704</v>
      </c>
    </row>
    <row r="244" s="471" customFormat="true" ht="9.75" hidden="false" customHeight="true" outlineLevel="0" collapsed="false">
      <c r="E244" s="530"/>
      <c r="F244" s="530"/>
      <c r="G244" s="531"/>
      <c r="H244" s="472"/>
    </row>
    <row r="245" s="471" customFormat="true" ht="9.75" hidden="false" customHeight="true" outlineLevel="0" collapsed="false">
      <c r="C245" s="524"/>
      <c r="D245" s="524"/>
      <c r="E245" s="532"/>
      <c r="F245" s="532"/>
      <c r="G245" s="533"/>
      <c r="H245" s="523"/>
      <c r="I245" s="524"/>
    </row>
    <row r="246" s="471" customFormat="true" ht="9.75" hidden="false" customHeight="true" outlineLevel="0" collapsed="false">
      <c r="E246" s="530"/>
      <c r="F246" s="530"/>
      <c r="G246" s="531"/>
      <c r="H246" s="472"/>
    </row>
    <row r="247" s="471" customFormat="true" ht="9.75" hidden="false" customHeight="true" outlineLevel="0" collapsed="false">
      <c r="E247" s="530"/>
      <c r="F247" s="530"/>
      <c r="G247" s="531"/>
      <c r="H247" s="472"/>
    </row>
    <row r="248" s="471" customFormat="true" ht="9.75" hidden="false" customHeight="true" outlineLevel="0" collapsed="false">
      <c r="E248" s="530"/>
      <c r="F248" s="530"/>
      <c r="G248" s="531"/>
      <c r="H248" s="472"/>
    </row>
    <row r="249" s="471" customFormat="true" ht="9.75" hidden="false" customHeight="true" outlineLevel="0" collapsed="false">
      <c r="E249" s="530"/>
      <c r="F249" s="530"/>
      <c r="G249" s="531"/>
      <c r="H249" s="472"/>
    </row>
    <row r="250" s="471" customFormat="true" ht="9.75" hidden="false" customHeight="true" outlineLevel="0" collapsed="false">
      <c r="E250" s="530"/>
      <c r="F250" s="530"/>
      <c r="G250" s="531"/>
      <c r="H250" s="472"/>
    </row>
    <row r="251" s="471" customFormat="true" ht="9.75" hidden="false" customHeight="true" outlineLevel="0" collapsed="false">
      <c r="E251" s="530"/>
      <c r="F251" s="530"/>
      <c r="G251" s="531"/>
      <c r="H251" s="472"/>
    </row>
    <row r="252" s="471" customFormat="true" ht="9.75" hidden="false" customHeight="true" outlineLevel="0" collapsed="false">
      <c r="E252" s="530"/>
      <c r="F252" s="530"/>
      <c r="G252" s="531"/>
      <c r="H252" s="472"/>
    </row>
    <row r="253" s="471" customFormat="true" ht="9.75" hidden="false" customHeight="true" outlineLevel="0" collapsed="false">
      <c r="E253" s="530"/>
      <c r="F253" s="530"/>
      <c r="G253" s="531"/>
      <c r="H253" s="472"/>
    </row>
    <row r="254" s="471" customFormat="true" ht="9.75" hidden="false" customHeight="true" outlineLevel="0" collapsed="false">
      <c r="E254" s="530"/>
      <c r="F254" s="530"/>
      <c r="G254" s="531"/>
      <c r="H254" s="472"/>
    </row>
    <row r="255" s="471" customFormat="true" ht="9.75" hidden="false" customHeight="true" outlineLevel="0" collapsed="false">
      <c r="E255" s="530"/>
      <c r="F255" s="530"/>
      <c r="G255" s="531"/>
      <c r="H255" s="472"/>
    </row>
    <row r="256" s="471" customFormat="true" ht="9.75" hidden="false" customHeight="true" outlineLevel="0" collapsed="false">
      <c r="E256" s="530"/>
      <c r="F256" s="530"/>
      <c r="G256" s="531"/>
      <c r="H256" s="472"/>
    </row>
    <row r="257" s="471" customFormat="true" ht="9.75" hidden="false" customHeight="true" outlineLevel="0" collapsed="false">
      <c r="E257" s="530"/>
      <c r="F257" s="530"/>
      <c r="G257" s="531"/>
      <c r="H257" s="472"/>
    </row>
    <row r="258" s="471" customFormat="true" ht="9.75" hidden="false" customHeight="true" outlineLevel="0" collapsed="false">
      <c r="E258" s="530"/>
      <c r="F258" s="530"/>
      <c r="G258" s="531"/>
      <c r="H258" s="472"/>
    </row>
    <row r="259" s="471" customFormat="true" ht="9.75" hidden="false" customHeight="true" outlineLevel="0" collapsed="false">
      <c r="E259" s="530"/>
      <c r="F259" s="530"/>
      <c r="G259" s="531"/>
      <c r="H259" s="472"/>
    </row>
    <row r="260" s="471" customFormat="true" ht="9.75" hidden="false" customHeight="true" outlineLevel="0" collapsed="false">
      <c r="E260" s="530"/>
      <c r="F260" s="530"/>
      <c r="G260" s="531"/>
      <c r="H260" s="472"/>
    </row>
    <row r="261" s="471" customFormat="true" ht="9.75" hidden="false" customHeight="true" outlineLevel="0" collapsed="false">
      <c r="E261" s="530"/>
      <c r="F261" s="530"/>
      <c r="G261" s="531"/>
      <c r="H261" s="472"/>
    </row>
    <row r="262" s="471" customFormat="true" ht="9.75" hidden="false" customHeight="true" outlineLevel="0" collapsed="false">
      <c r="E262" s="530"/>
      <c r="F262" s="530"/>
      <c r="G262" s="531"/>
      <c r="H262" s="472"/>
    </row>
    <row r="263" s="471" customFormat="true" ht="9.75" hidden="false" customHeight="true" outlineLevel="0" collapsed="false">
      <c r="E263" s="530"/>
      <c r="F263" s="530"/>
      <c r="G263" s="531"/>
      <c r="H263" s="472"/>
    </row>
    <row r="264" s="471" customFormat="true" ht="9.75" hidden="false" customHeight="true" outlineLevel="0" collapsed="false">
      <c r="E264" s="530"/>
      <c r="F264" s="530"/>
      <c r="G264" s="531"/>
      <c r="H264" s="472"/>
    </row>
    <row r="265" s="471" customFormat="true" ht="9.75" hidden="false" customHeight="true" outlineLevel="0" collapsed="false">
      <c r="E265" s="530"/>
      <c r="F265" s="530"/>
      <c r="G265" s="531"/>
      <c r="H265" s="472"/>
    </row>
    <row r="266" s="471" customFormat="true" ht="9.75" hidden="false" customHeight="true" outlineLevel="0" collapsed="false">
      <c r="E266" s="530"/>
      <c r="F266" s="530"/>
      <c r="G266" s="531"/>
      <c r="H266" s="472"/>
    </row>
    <row r="267" s="471" customFormat="true" ht="9.75" hidden="false" customHeight="true" outlineLevel="0" collapsed="false">
      <c r="E267" s="530"/>
      <c r="F267" s="530"/>
      <c r="G267" s="531"/>
      <c r="H267" s="472"/>
    </row>
    <row r="268" s="471" customFormat="true" ht="9.75" hidden="false" customHeight="true" outlineLevel="0" collapsed="false">
      <c r="E268" s="530"/>
      <c r="F268" s="530"/>
      <c r="G268" s="531"/>
      <c r="H268" s="472"/>
    </row>
    <row r="269" s="471" customFormat="true" ht="9.75" hidden="false" customHeight="true" outlineLevel="0" collapsed="false">
      <c r="E269" s="530"/>
      <c r="F269" s="530"/>
      <c r="G269" s="531"/>
      <c r="H269" s="472"/>
    </row>
    <row r="270" s="471" customFormat="true" ht="9.75" hidden="false" customHeight="true" outlineLevel="0" collapsed="false">
      <c r="E270" s="530"/>
      <c r="F270" s="530"/>
      <c r="G270" s="531"/>
      <c r="H270" s="472"/>
    </row>
    <row r="271" s="471" customFormat="true" ht="9.75" hidden="false" customHeight="true" outlineLevel="0" collapsed="false">
      <c r="E271" s="530"/>
      <c r="F271" s="530"/>
      <c r="G271" s="531"/>
      <c r="H271" s="472"/>
    </row>
    <row r="272" s="471" customFormat="true" ht="9.75" hidden="false" customHeight="true" outlineLevel="0" collapsed="false">
      <c r="E272" s="530"/>
      <c r="F272" s="530"/>
      <c r="G272" s="531"/>
      <c r="H272" s="472"/>
    </row>
    <row r="273" s="471" customFormat="true" ht="9.75" hidden="false" customHeight="true" outlineLevel="0" collapsed="false">
      <c r="E273" s="530"/>
      <c r="F273" s="530"/>
      <c r="G273" s="531"/>
      <c r="H273" s="472"/>
    </row>
    <row r="274" s="471" customFormat="true" ht="9.75" hidden="false" customHeight="true" outlineLevel="0" collapsed="false">
      <c r="E274" s="530"/>
      <c r="F274" s="530"/>
      <c r="G274" s="531"/>
      <c r="H274" s="472"/>
    </row>
    <row r="275" s="471" customFormat="true" ht="9.75" hidden="false" customHeight="true" outlineLevel="0" collapsed="false">
      <c r="E275" s="530"/>
      <c r="F275" s="530"/>
      <c r="G275" s="531"/>
      <c r="H275" s="472"/>
    </row>
    <row r="276" s="471" customFormat="true" ht="9.75" hidden="false" customHeight="true" outlineLevel="0" collapsed="false">
      <c r="E276" s="530"/>
      <c r="F276" s="530"/>
      <c r="G276" s="531"/>
      <c r="H276" s="472"/>
    </row>
    <row r="277" customFormat="false" ht="9.75" hidden="false" customHeight="true" outlineLevel="0" collapsed="false">
      <c r="B277" s="524"/>
      <c r="C277" s="524"/>
      <c r="D277" s="524"/>
      <c r="E277" s="532"/>
      <c r="F277" s="532"/>
      <c r="G277" s="533"/>
      <c r="H277" s="523"/>
      <c r="I277" s="524"/>
    </row>
    <row r="278" s="471" customFormat="true" ht="9.75" hidden="false" customHeight="true" outlineLevel="0" collapsed="false">
      <c r="E278" s="530"/>
      <c r="F278" s="530"/>
      <c r="G278" s="531"/>
      <c r="H278" s="472"/>
      <c r="I278" s="526"/>
    </row>
    <row r="279" s="471" customFormat="true" ht="9.75" hidden="false" customHeight="true" outlineLevel="0" collapsed="false">
      <c r="E279" s="530"/>
      <c r="F279" s="530"/>
      <c r="G279" s="531"/>
      <c r="H279" s="472"/>
    </row>
    <row r="280" s="471" customFormat="true" ht="9.75" hidden="false" customHeight="true" outlineLevel="0" collapsed="false">
      <c r="E280" s="530"/>
      <c r="F280" s="530"/>
      <c r="G280" s="531"/>
      <c r="H280" s="472"/>
    </row>
    <row r="281" s="471" customFormat="true" ht="9.75" hidden="false" customHeight="true" outlineLevel="0" collapsed="false">
      <c r="E281" s="530"/>
      <c r="F281" s="530"/>
      <c r="G281" s="531"/>
      <c r="H281" s="472"/>
    </row>
    <row r="282" s="471" customFormat="true" ht="9.75" hidden="false" customHeight="true" outlineLevel="0" collapsed="false">
      <c r="E282" s="530"/>
      <c r="F282" s="530"/>
      <c r="G282" s="531"/>
      <c r="H282" s="472"/>
    </row>
    <row r="283" s="471" customFormat="true" ht="9.75" hidden="false" customHeight="true" outlineLevel="0" collapsed="false">
      <c r="E283" s="530"/>
      <c r="F283" s="530"/>
      <c r="G283" s="531"/>
      <c r="H283" s="472"/>
    </row>
    <row r="284" s="471" customFormat="true" ht="9.75" hidden="false" customHeight="true" outlineLevel="0" collapsed="false">
      <c r="E284" s="530"/>
      <c r="F284" s="530"/>
      <c r="G284" s="531"/>
      <c r="H284" s="472"/>
    </row>
    <row r="285" s="471" customFormat="true" ht="9.75" hidden="false" customHeight="true" outlineLevel="0" collapsed="false">
      <c r="E285" s="530"/>
      <c r="F285" s="530"/>
      <c r="G285" s="531"/>
      <c r="H285" s="472"/>
    </row>
    <row r="286" s="471" customFormat="true" ht="9.75" hidden="false" customHeight="true" outlineLevel="0" collapsed="false">
      <c r="E286" s="530"/>
      <c r="F286" s="530"/>
      <c r="G286" s="531"/>
      <c r="H286" s="472"/>
    </row>
    <row r="287" s="471" customFormat="true" ht="9.75" hidden="false" customHeight="true" outlineLevel="0" collapsed="false">
      <c r="E287" s="530"/>
      <c r="F287" s="530"/>
      <c r="G287" s="531"/>
      <c r="H287" s="472"/>
    </row>
    <row r="288" s="471" customFormat="true" ht="9.75" hidden="false" customHeight="true" outlineLevel="0" collapsed="false">
      <c r="E288" s="530"/>
      <c r="F288" s="530"/>
      <c r="G288" s="531"/>
      <c r="H288" s="472"/>
    </row>
    <row r="289" s="471" customFormat="true" ht="9.75" hidden="false" customHeight="true" outlineLevel="0" collapsed="false">
      <c r="E289" s="530"/>
      <c r="F289" s="530"/>
      <c r="G289" s="531"/>
      <c r="H289" s="472"/>
    </row>
    <row r="290" s="471" customFormat="true" ht="9.75" hidden="false" customHeight="true" outlineLevel="0" collapsed="false">
      <c r="E290" s="530"/>
      <c r="F290" s="530"/>
      <c r="G290" s="531"/>
      <c r="H290" s="472"/>
    </row>
    <row r="291" s="471" customFormat="true" ht="9.75" hidden="false" customHeight="true" outlineLevel="0" collapsed="false">
      <c r="E291" s="530"/>
      <c r="F291" s="530"/>
      <c r="G291" s="531"/>
      <c r="H291" s="472"/>
    </row>
    <row r="292" s="471" customFormat="true" ht="9.75" hidden="false" customHeight="true" outlineLevel="0" collapsed="false">
      <c r="E292" s="530"/>
      <c r="F292" s="530"/>
      <c r="G292" s="531"/>
      <c r="H292" s="472"/>
    </row>
    <row r="293" s="471" customFormat="true" ht="9.75" hidden="false" customHeight="true" outlineLevel="0" collapsed="false">
      <c r="E293" s="534"/>
      <c r="F293" s="534"/>
      <c r="G293" s="535"/>
      <c r="H293" s="472"/>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460937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36" width="11.71"/>
    <col collapsed="false" customWidth="true" hidden="false" outlineLevel="0" max="5" min="5" style="536" width="18"/>
    <col collapsed="false" customWidth="true" hidden="false" outlineLevel="0" max="6" min="6" style="536" width="17.59"/>
    <col collapsed="false" customWidth="true" hidden="false" outlineLevel="0" max="7" min="7" style="0" width="14.69"/>
  </cols>
  <sheetData>
    <row r="2" s="537" customFormat="true" ht="55.5" hidden="false" customHeight="true" outlineLevel="0" collapsed="false">
      <c r="C2" s="537" t="s">
        <v>257</v>
      </c>
      <c r="D2" s="538" t="s">
        <v>705</v>
      </c>
      <c r="E2" s="538" t="s">
        <v>706</v>
      </c>
      <c r="F2" s="538" t="s">
        <v>707</v>
      </c>
      <c r="G2" s="538" t="s">
        <v>708</v>
      </c>
      <c r="H2" s="538" t="s">
        <v>128</v>
      </c>
      <c r="J2" s="537" t="s">
        <v>263</v>
      </c>
      <c r="K2" s="537" t="s">
        <v>709</v>
      </c>
    </row>
    <row r="3" customFormat="false" ht="15" hidden="false" customHeight="false" outlineLevel="0" collapsed="false">
      <c r="C3" s="539" t="s">
        <v>621</v>
      </c>
      <c r="D3" s="536" t="n">
        <v>1.12949</v>
      </c>
      <c r="F3" s="536" t="n">
        <v>12463.5635198013</v>
      </c>
      <c r="G3" s="540" t="n">
        <f aca="false">D3*E3/F3</f>
        <v>0</v>
      </c>
      <c r="H3" s="0" t="str">
        <f aca="false">VLOOKUP(C3,'11.Region'!$B$22:$E$243,4,FALSE())</f>
        <v>Africa</v>
      </c>
      <c r="I3" s="541" t="n">
        <f aca="false">$K$3</f>
        <v>3.03256163278312</v>
      </c>
      <c r="J3" s="0" t="s">
        <v>263</v>
      </c>
      <c r="K3" s="542" t="n">
        <f aca="false">AVERAGE(G5:G51)</f>
        <v>3.03256163278312</v>
      </c>
      <c r="L3" s="543" t="s">
        <v>269</v>
      </c>
    </row>
    <row r="4" customFormat="false" ht="15" hidden="false" customHeight="false" outlineLevel="0" collapsed="false">
      <c r="C4" s="539" t="s">
        <v>697</v>
      </c>
      <c r="D4" s="536" t="n">
        <v>1.12949</v>
      </c>
      <c r="F4" s="536" t="n">
        <v>0.51762968529526</v>
      </c>
      <c r="G4" s="540" t="n">
        <f aca="false">D4*E4/F4</f>
        <v>0</v>
      </c>
      <c r="H4" s="0" t="str">
        <f aca="false">VLOOKUP(C4,'11.Region'!$B$22:$E$243,4,FALSE())</f>
        <v>Africa</v>
      </c>
      <c r="I4" s="541" t="n">
        <f aca="false">$K$3</f>
        <v>3.03256163278312</v>
      </c>
      <c r="J4" s="0" t="s">
        <v>263</v>
      </c>
    </row>
    <row r="5" customFormat="false" ht="15" hidden="false" customHeight="false" outlineLevel="0" collapsed="false">
      <c r="C5" s="539" t="s">
        <v>268</v>
      </c>
      <c r="D5" s="536" t="n">
        <v>1.12949</v>
      </c>
      <c r="E5" s="536" t="n">
        <v>165.09042</v>
      </c>
      <c r="F5" s="536" t="n">
        <v>108.299425238122</v>
      </c>
      <c r="G5" s="540" t="n">
        <f aca="false">D5*E5/F5</f>
        <v>1.72178179224687</v>
      </c>
      <c r="H5" s="0" t="str">
        <f aca="false">VLOOKUP(C5,'11.Region'!$B$22:$E$243,4,FALSE())</f>
        <v>Africa</v>
      </c>
      <c r="I5" s="541" t="n">
        <f aca="false">G5</f>
        <v>1.72178179224687</v>
      </c>
    </row>
    <row r="6" customFormat="false" ht="15" hidden="false" customHeight="false" outlineLevel="0" collapsed="false">
      <c r="C6" s="539" t="s">
        <v>601</v>
      </c>
      <c r="D6" s="536" t="n">
        <v>1.12949</v>
      </c>
      <c r="E6" s="536" t="n">
        <v>6.60668</v>
      </c>
      <c r="F6" s="536" t="n">
        <v>4.13776545849889</v>
      </c>
      <c r="G6" s="540" t="n">
        <f aca="false">D6*E6/F6</f>
        <v>1.80343208624182</v>
      </c>
      <c r="H6" s="0" t="str">
        <f aca="false">VLOOKUP(C6,'11.Region'!$B$22:$E$243,4,FALSE())</f>
        <v>Africa</v>
      </c>
      <c r="I6" s="541" t="n">
        <f aca="false">G6</f>
        <v>1.80343208624182</v>
      </c>
    </row>
    <row r="7" customFormat="false" ht="15" hidden="false" customHeight="false" outlineLevel="0" collapsed="false">
      <c r="C7" s="539" t="s">
        <v>329</v>
      </c>
      <c r="D7" s="536" t="n">
        <v>1.12949</v>
      </c>
      <c r="E7" s="536" t="n">
        <v>581.90317</v>
      </c>
      <c r="F7" s="536" t="n">
        <v>335.500361622859</v>
      </c>
      <c r="G7" s="540" t="n">
        <f aca="false">D7*E7/F7</f>
        <v>1.95902564248837</v>
      </c>
      <c r="H7" s="0" t="str">
        <f aca="false">VLOOKUP(C7,'11.Region'!$B$22:$E$243,4,FALSE())</f>
        <v>Africa</v>
      </c>
      <c r="I7" s="541" t="n">
        <f aca="false">G7</f>
        <v>1.95902564248837</v>
      </c>
    </row>
    <row r="8" customFormat="false" ht="15" hidden="false" customHeight="false" outlineLevel="0" collapsed="false">
      <c r="C8" s="539" t="s">
        <v>635</v>
      </c>
      <c r="D8" s="536" t="n">
        <v>1.12949</v>
      </c>
      <c r="E8" s="536" t="n">
        <v>12.72334</v>
      </c>
      <c r="F8" s="536" t="n">
        <v>7.30586505705509</v>
      </c>
      <c r="G8" s="540" t="n">
        <f aca="false">D8*E8/F8</f>
        <v>1.96703404516381</v>
      </c>
      <c r="H8" s="0" t="str">
        <f aca="false">VLOOKUP(C8,'11.Region'!$B$22:$E$243,4,FALSE())</f>
        <v>Africa</v>
      </c>
      <c r="I8" s="541" t="n">
        <f aca="false">G8</f>
        <v>1.96703404516381</v>
      </c>
    </row>
    <row r="9" customFormat="false" ht="15" hidden="false" customHeight="false" outlineLevel="0" collapsed="false">
      <c r="C9" s="539" t="s">
        <v>343</v>
      </c>
      <c r="D9" s="536" t="n">
        <v>1.12949</v>
      </c>
      <c r="E9" s="536" t="n">
        <v>1440.44336</v>
      </c>
      <c r="F9" s="536" t="n">
        <v>763.855751739276</v>
      </c>
      <c r="G9" s="540" t="n">
        <f aca="false">D9*E9/F9</f>
        <v>2.12993928105123</v>
      </c>
      <c r="H9" s="0" t="str">
        <f aca="false">VLOOKUP(C9,'11.Region'!$B$22:$E$243,4,FALSE())</f>
        <v>Africa</v>
      </c>
      <c r="I9" s="541" t="n">
        <f aca="false">G9</f>
        <v>2.12993928105123</v>
      </c>
    </row>
    <row r="10" customFormat="false" ht="15" hidden="false" customHeight="false" outlineLevel="0" collapsed="false">
      <c r="C10" s="539" t="s">
        <v>349</v>
      </c>
      <c r="D10" s="536" t="n">
        <v>1.12949</v>
      </c>
      <c r="E10" s="536" t="n">
        <v>436.44655</v>
      </c>
      <c r="F10" s="536" t="n">
        <v>224.237692431855</v>
      </c>
      <c r="G10" s="540" t="n">
        <f aca="false">D10*E10/F10</f>
        <v>2.1983905043498</v>
      </c>
      <c r="H10" s="0" t="str">
        <f aca="false">VLOOKUP(C10,'11.Region'!$B$22:$E$243,4,FALSE())</f>
        <v>Africa</v>
      </c>
      <c r="I10" s="541" t="n">
        <f aca="false">G10</f>
        <v>2.1983905043498</v>
      </c>
    </row>
    <row r="11" customFormat="false" ht="15" hidden="false" customHeight="false" outlineLevel="0" collapsed="false">
      <c r="C11" s="539" t="s">
        <v>543</v>
      </c>
      <c r="D11" s="536" t="n">
        <v>1.12949</v>
      </c>
      <c r="E11" s="536" t="n">
        <v>13.2992</v>
      </c>
      <c r="F11" s="536" t="n">
        <v>6.64300479615375</v>
      </c>
      <c r="G11" s="540" t="n">
        <f aca="false">D11*E11/F11</f>
        <v>2.26122272509832</v>
      </c>
      <c r="H11" s="0" t="str">
        <f aca="false">VLOOKUP(C11,'11.Region'!$B$22:$E$243,4,FALSE())</f>
        <v>Africa</v>
      </c>
      <c r="I11" s="541" t="n">
        <f aca="false">G11</f>
        <v>2.26122272509832</v>
      </c>
    </row>
    <row r="12" customFormat="false" ht="15" hidden="false" customHeight="false" outlineLevel="0" collapsed="false">
      <c r="C12" s="539" t="s">
        <v>537</v>
      </c>
      <c r="D12" s="536" t="n">
        <v>1.12949</v>
      </c>
      <c r="E12" s="536" t="n">
        <v>33.25729</v>
      </c>
      <c r="F12" s="536" t="n">
        <v>16.3243952541092</v>
      </c>
      <c r="G12" s="540" t="n">
        <f aca="false">D12*E12/F12</f>
        <v>2.30108226965678</v>
      </c>
      <c r="H12" s="0" t="str">
        <f aca="false">VLOOKUP(C12,'11.Region'!$B$22:$E$243,4,FALSE())</f>
        <v>Africa</v>
      </c>
      <c r="I12" s="541" t="n">
        <f aca="false">G12</f>
        <v>2.30108226965678</v>
      </c>
    </row>
    <row r="13" customFormat="false" ht="15" hidden="false" customHeight="false" outlineLevel="0" collapsed="false">
      <c r="C13" s="539" t="s">
        <v>351</v>
      </c>
      <c r="D13" s="536" t="n">
        <v>1.12949</v>
      </c>
      <c r="E13" s="536" t="n">
        <v>97.81675</v>
      </c>
      <c r="F13" s="536" t="n">
        <v>45.992605173421</v>
      </c>
      <c r="G13" s="540" t="n">
        <f aca="false">D13*E13/F13</f>
        <v>2.40219140752974</v>
      </c>
      <c r="H13" s="0" t="str">
        <f aca="false">VLOOKUP(C13,'11.Region'!$B$22:$E$243,4,FALSE())</f>
        <v>Africa</v>
      </c>
      <c r="I13" s="541" t="n">
        <f aca="false">G13</f>
        <v>2.40219140752974</v>
      </c>
    </row>
    <row r="14" customFormat="false" ht="15" hidden="false" customHeight="false" outlineLevel="0" collapsed="false">
      <c r="C14" s="539" t="s">
        <v>465</v>
      </c>
      <c r="D14" s="536" t="n">
        <v>1.12949</v>
      </c>
      <c r="E14" s="536" t="n">
        <v>101.76897</v>
      </c>
      <c r="F14" s="536" t="n">
        <v>47.4524477845985</v>
      </c>
      <c r="G14" s="540" t="n">
        <f aca="false">D14*E14/F14</f>
        <v>2.42236258173826</v>
      </c>
      <c r="H14" s="0" t="str">
        <f aca="false">VLOOKUP(C14,'11.Region'!$B$22:$E$243,4,FALSE())</f>
        <v>Africa</v>
      </c>
      <c r="I14" s="541" t="n">
        <f aca="false">G14</f>
        <v>2.42236258173826</v>
      </c>
    </row>
    <row r="15" customFormat="false" ht="15" hidden="false" customHeight="false" outlineLevel="0" collapsed="false">
      <c r="C15" s="539" t="s">
        <v>693</v>
      </c>
      <c r="D15" s="536" t="n">
        <v>1.12949</v>
      </c>
      <c r="E15" s="536" t="n">
        <v>13.2992</v>
      </c>
      <c r="F15" s="536" t="n">
        <v>6.0762570281131</v>
      </c>
      <c r="G15" s="540" t="n">
        <f aca="false">D15*E15/F15</f>
        <v>2.47213265312851</v>
      </c>
      <c r="H15" s="0" t="str">
        <f aca="false">VLOOKUP(C15,'11.Region'!$B$22:$E$243,4,FALSE())</f>
        <v>Africa</v>
      </c>
      <c r="I15" s="541" t="n">
        <f aca="false">G15</f>
        <v>2.47213265312851</v>
      </c>
    </row>
    <row r="16" customFormat="false" ht="15" hidden="false" customHeight="false" outlineLevel="0" collapsed="false">
      <c r="C16" s="539" t="s">
        <v>327</v>
      </c>
      <c r="D16" s="536" t="n">
        <v>1.12949</v>
      </c>
      <c r="E16" s="536" t="n">
        <v>10.22584</v>
      </c>
      <c r="F16" s="536" t="n">
        <v>4.52886496554253</v>
      </c>
      <c r="G16" s="540" t="n">
        <f aca="false">D16*E16/F16</f>
        <v>2.55030434987067</v>
      </c>
      <c r="H16" s="0" t="str">
        <f aca="false">VLOOKUP(C16,'11.Region'!$B$22:$E$243,4,FALSE())</f>
        <v>Africa</v>
      </c>
      <c r="I16" s="541" t="n">
        <f aca="false">G16</f>
        <v>2.55030434987067</v>
      </c>
    </row>
    <row r="17" customFormat="false" ht="15" hidden="false" customHeight="false" outlineLevel="0" collapsed="false">
      <c r="C17" s="539" t="s">
        <v>413</v>
      </c>
      <c r="D17" s="536" t="n">
        <v>1.12949</v>
      </c>
      <c r="E17" s="536" t="n">
        <v>581.57419</v>
      </c>
      <c r="F17" s="536" t="n">
        <v>247.754889036848</v>
      </c>
      <c r="G17" s="540" t="n">
        <f aca="false">D17*E17/F17</f>
        <v>2.65133912964036</v>
      </c>
      <c r="H17" s="0" t="str">
        <f aca="false">VLOOKUP(C17,'11.Region'!$B$22:$E$243,4,FALSE())</f>
        <v>Africa</v>
      </c>
      <c r="I17" s="541" t="n">
        <f aca="false">G17</f>
        <v>2.65133912964036</v>
      </c>
    </row>
    <row r="18" customFormat="false" ht="15" hidden="false" customHeight="false" outlineLevel="0" collapsed="false">
      <c r="C18" s="539" t="s">
        <v>293</v>
      </c>
      <c r="D18" s="536" t="n">
        <v>1.12949</v>
      </c>
      <c r="E18" s="536" t="n">
        <v>1699.34338</v>
      </c>
      <c r="F18" s="536" t="n">
        <v>717.88571949917</v>
      </c>
      <c r="G18" s="540" t="n">
        <f aca="false">D18*E18/F18</f>
        <v>2.67367256673563</v>
      </c>
      <c r="H18" s="0" t="str">
        <f aca="false">VLOOKUP(C18,'11.Region'!$B$22:$E$243,4,FALSE())</f>
        <v>Africa</v>
      </c>
      <c r="I18" s="541" t="n">
        <f aca="false">G18</f>
        <v>2.67367256673563</v>
      </c>
    </row>
    <row r="19" customFormat="false" ht="15" hidden="false" customHeight="false" outlineLevel="0" collapsed="false">
      <c r="C19" s="539" t="s">
        <v>339</v>
      </c>
      <c r="D19" s="536" t="n">
        <v>1.12949</v>
      </c>
      <c r="E19" s="536" t="n">
        <v>581.57419</v>
      </c>
      <c r="F19" s="536" t="n">
        <v>244.777496307491</v>
      </c>
      <c r="G19" s="540" t="n">
        <f aca="false">D19*E19/F19</f>
        <v>2.68358914431382</v>
      </c>
      <c r="H19" s="0" t="str">
        <f aca="false">VLOOKUP(C19,'11.Region'!$B$22:$E$243,4,FALSE())</f>
        <v>Africa</v>
      </c>
      <c r="I19" s="541" t="n">
        <f aca="false">G19</f>
        <v>2.68358914431382</v>
      </c>
    </row>
    <row r="20" customFormat="false" ht="15" hidden="false" customHeight="false" outlineLevel="0" collapsed="false">
      <c r="C20" s="539" t="s">
        <v>485</v>
      </c>
      <c r="D20" s="536" t="n">
        <v>1.12949</v>
      </c>
      <c r="E20" s="536" t="n">
        <v>1.3707</v>
      </c>
      <c r="F20" s="536" t="n">
        <v>0.564428715470327</v>
      </c>
      <c r="G20" s="540" t="n">
        <f aca="false">D20*E20/F20</f>
        <v>2.74293617699787</v>
      </c>
      <c r="H20" s="0" t="str">
        <f aca="false">VLOOKUP(C20,'11.Region'!$B$22:$E$243,4,FALSE())</f>
        <v>Africa</v>
      </c>
      <c r="I20" s="541" t="n">
        <f aca="false">G20</f>
        <v>2.74293617699787</v>
      </c>
    </row>
    <row r="21" customFormat="false" ht="15" hidden="false" customHeight="false" outlineLevel="0" collapsed="false">
      <c r="C21" s="539" t="s">
        <v>399</v>
      </c>
      <c r="D21" s="536" t="n">
        <v>1.12949</v>
      </c>
      <c r="E21" s="536" t="n">
        <v>581.90317</v>
      </c>
      <c r="F21" s="536" t="n">
        <v>231.155170200789</v>
      </c>
      <c r="G21" s="540" t="n">
        <f aca="false">D21*E21/F21</f>
        <v>2.84334462825291</v>
      </c>
      <c r="H21" s="0" t="str">
        <f aca="false">VLOOKUP(C21,'11.Region'!$B$22:$E$243,4,FALSE())</f>
        <v>Africa</v>
      </c>
      <c r="I21" s="541" t="n">
        <f aca="false">G21</f>
        <v>2.84334462825291</v>
      </c>
    </row>
    <row r="22" customFormat="false" ht="15" hidden="false" customHeight="false" outlineLevel="0" collapsed="false">
      <c r="C22" s="539" t="s">
        <v>415</v>
      </c>
      <c r="D22" s="536" t="n">
        <v>1.12949</v>
      </c>
      <c r="E22" s="536" t="n">
        <v>581.90317</v>
      </c>
      <c r="F22" s="536" t="n">
        <v>231.038017628135</v>
      </c>
      <c r="G22" s="540" t="n">
        <f aca="false">D22*E22/F22</f>
        <v>2.84478640455259</v>
      </c>
      <c r="H22" s="0" t="str">
        <f aca="false">VLOOKUP(C22,'11.Region'!$B$22:$E$243,4,FALSE())</f>
        <v>Africa</v>
      </c>
      <c r="I22" s="541" t="n">
        <f aca="false">G22</f>
        <v>2.84478640455259</v>
      </c>
    </row>
    <row r="23" customFormat="false" ht="15" hidden="false" customHeight="false" outlineLevel="0" collapsed="false">
      <c r="C23" s="539" t="s">
        <v>643</v>
      </c>
      <c r="D23" s="536" t="n">
        <v>1.12949</v>
      </c>
      <c r="E23" s="536" t="n">
        <v>581.57419</v>
      </c>
      <c r="F23" s="536" t="n">
        <v>228.864685269555</v>
      </c>
      <c r="G23" s="540" t="n">
        <f aca="false">D23*E23/F23</f>
        <v>2.870177332468</v>
      </c>
      <c r="H23" s="0" t="str">
        <f aca="false">VLOOKUP(C23,'11.Region'!$B$22:$E$243,4,FALSE())</f>
        <v>Africa</v>
      </c>
      <c r="I23" s="541" t="n">
        <f aca="false">G23</f>
        <v>2.870177332468</v>
      </c>
    </row>
    <row r="24" customFormat="false" ht="15" hidden="false" customHeight="false" outlineLevel="0" collapsed="false">
      <c r="C24" s="539" t="s">
        <v>341</v>
      </c>
      <c r="D24" s="536" t="n">
        <v>1.12949</v>
      </c>
      <c r="E24" s="536" t="n">
        <v>581.90317</v>
      </c>
      <c r="F24" s="536" t="n">
        <v>227.956784579026</v>
      </c>
      <c r="G24" s="540" t="n">
        <f aca="false">D24*E24/F24</f>
        <v>2.883238648488</v>
      </c>
      <c r="H24" s="0" t="str">
        <f aca="false">VLOOKUP(C24,'11.Region'!$B$22:$E$243,4,FALSE())</f>
        <v>Africa</v>
      </c>
      <c r="I24" s="541" t="n">
        <f aca="false">G24</f>
        <v>2.883238648488</v>
      </c>
    </row>
    <row r="25" customFormat="false" ht="15" hidden="false" customHeight="false" outlineLevel="0" collapsed="false">
      <c r="C25" s="539" t="s">
        <v>387</v>
      </c>
      <c r="D25" s="536" t="n">
        <v>1.12949</v>
      </c>
      <c r="E25" s="536" t="n">
        <v>23.72109</v>
      </c>
      <c r="F25" s="536" t="n">
        <v>9.06336952150157</v>
      </c>
      <c r="G25" s="540" t="n">
        <f aca="false">D25*E25/F25</f>
        <v>2.95615597273597</v>
      </c>
      <c r="H25" s="0" t="str">
        <f aca="false">VLOOKUP(C25,'11.Region'!$B$22:$E$243,4,FALSE())</f>
        <v>Africa</v>
      </c>
      <c r="I25" s="541" t="n">
        <f aca="false">G25</f>
        <v>2.95615597273597</v>
      </c>
    </row>
    <row r="26" customFormat="false" ht="15" hidden="false" customHeight="false" outlineLevel="0" collapsed="false">
      <c r="C26" s="539" t="s">
        <v>603</v>
      </c>
      <c r="D26" s="536" t="n">
        <v>1.12949</v>
      </c>
      <c r="E26" s="536" t="n">
        <v>581.57419</v>
      </c>
      <c r="F26" s="536" t="n">
        <v>221.707078638369</v>
      </c>
      <c r="G26" s="540" t="n">
        <f aca="false">D26*E26/F26</f>
        <v>2.96283833559755</v>
      </c>
      <c r="H26" s="0" t="str">
        <f aca="false">VLOOKUP(C26,'11.Region'!$B$22:$E$243,4,FALSE())</f>
        <v>Africa</v>
      </c>
      <c r="I26" s="541" t="n">
        <f aca="false">G26</f>
        <v>2.96283833559755</v>
      </c>
    </row>
    <row r="27" customFormat="false" ht="15" hidden="false" customHeight="false" outlineLevel="0" collapsed="false">
      <c r="C27" s="539" t="s">
        <v>631</v>
      </c>
      <c r="D27" s="536" t="n">
        <v>1.12949</v>
      </c>
      <c r="E27" s="536" t="n">
        <v>13.2992</v>
      </c>
      <c r="F27" s="536" t="n">
        <v>5.06026211181042</v>
      </c>
      <c r="G27" s="540" t="n">
        <f aca="false">D27*E27/F27</f>
        <v>2.9684852436677</v>
      </c>
      <c r="H27" s="0" t="str">
        <f aca="false">VLOOKUP(C27,'11.Region'!$B$22:$E$243,4,FALSE())</f>
        <v>Africa</v>
      </c>
      <c r="I27" s="541" t="n">
        <f aca="false">G27</f>
        <v>2.9684852436677</v>
      </c>
    </row>
    <row r="28" customFormat="false" ht="15" hidden="false" customHeight="false" outlineLevel="0" collapsed="false">
      <c r="C28" s="539" t="s">
        <v>493</v>
      </c>
      <c r="D28" s="536" t="n">
        <v>1.12949</v>
      </c>
      <c r="E28" s="536" t="n">
        <v>13.2992</v>
      </c>
      <c r="F28" s="536" t="n">
        <v>5.03426740721094</v>
      </c>
      <c r="G28" s="540" t="n">
        <f aca="false">D28*E28/F28</f>
        <v>2.98381317338922</v>
      </c>
      <c r="H28" s="0" t="str">
        <f aca="false">VLOOKUP(C28,'11.Region'!$B$22:$E$243,4,FALSE())</f>
        <v>Africa</v>
      </c>
      <c r="I28" s="541" t="n">
        <f aca="false">G28</f>
        <v>2.98381317338922</v>
      </c>
    </row>
    <row r="29" customFormat="false" ht="15" hidden="false" customHeight="false" outlineLevel="0" collapsed="false">
      <c r="C29" s="539" t="s">
        <v>409</v>
      </c>
      <c r="D29" s="536" t="n">
        <v>1.12949</v>
      </c>
      <c r="E29" s="536" t="n">
        <v>9041.48481</v>
      </c>
      <c r="F29" s="536" t="n">
        <v>3386.11756067565</v>
      </c>
      <c r="G29" s="540" t="n">
        <f aca="false">D29*E29/F29</f>
        <v>3.01592206857968</v>
      </c>
      <c r="H29" s="0" t="str">
        <f aca="false">VLOOKUP(C29,'11.Region'!$B$22:$E$243,4,FALSE())</f>
        <v>Africa</v>
      </c>
      <c r="I29" s="541" t="n">
        <f aca="false">G29</f>
        <v>3.01592206857968</v>
      </c>
    </row>
    <row r="30" customFormat="false" ht="15" hidden="false" customHeight="false" outlineLevel="0" collapsed="false">
      <c r="C30" s="539" t="s">
        <v>695</v>
      </c>
      <c r="D30" s="536" t="n">
        <v>1.12949</v>
      </c>
      <c r="E30" s="536" t="n">
        <v>9.49354</v>
      </c>
      <c r="F30" s="536" t="n">
        <v>3.5485394978903</v>
      </c>
      <c r="G30" s="540" t="n">
        <f aca="false">D30*E30/F30</f>
        <v>3.02176670175857</v>
      </c>
      <c r="H30" s="0" t="str">
        <f aca="false">VLOOKUP(C30,'11.Region'!$B$22:$E$243,4,FALSE())</f>
        <v>Africa</v>
      </c>
      <c r="I30" s="541" t="n">
        <f aca="false">G30</f>
        <v>3.02176670175857</v>
      </c>
    </row>
    <row r="31" customFormat="false" ht="15" hidden="false" customHeight="false" outlineLevel="0" collapsed="false">
      <c r="C31" s="539" t="s">
        <v>521</v>
      </c>
      <c r="D31" s="536" t="n">
        <v>1.12949</v>
      </c>
      <c r="E31" s="536" t="n">
        <v>581.57419</v>
      </c>
      <c r="F31" s="536" t="n">
        <v>217.03135676953</v>
      </c>
      <c r="G31" s="540" t="n">
        <f aca="false">D31*E31/F31</f>
        <v>3.02666970174571</v>
      </c>
      <c r="H31" s="0" t="str">
        <f aca="false">VLOOKUP(C31,'11.Region'!$B$22:$E$243,4,FALSE())</f>
        <v>Africa</v>
      </c>
      <c r="I31" s="541" t="n">
        <f aca="false">G31</f>
        <v>3.02666970174571</v>
      </c>
    </row>
    <row r="32" customFormat="false" ht="15" hidden="false" customHeight="false" outlineLevel="0" collapsed="false">
      <c r="C32" s="539" t="s">
        <v>547</v>
      </c>
      <c r="D32" s="536" t="n">
        <v>1.12949</v>
      </c>
      <c r="E32" s="536" t="n">
        <v>581.57419</v>
      </c>
      <c r="F32" s="536" t="n">
        <v>216.470484936777</v>
      </c>
      <c r="G32" s="540" t="n">
        <f aca="false">D32*E32/F32</f>
        <v>3.03451175828867</v>
      </c>
      <c r="H32" s="0" t="str">
        <f aca="false">VLOOKUP(C32,'11.Region'!$B$22:$E$243,4,FALSE())</f>
        <v>Africa</v>
      </c>
      <c r="I32" s="541" t="n">
        <f aca="false">G32</f>
        <v>3.03451175828867</v>
      </c>
    </row>
    <row r="33" customFormat="false" ht="15" hidden="false" customHeight="false" outlineLevel="0" collapsed="false">
      <c r="C33" s="539" t="s">
        <v>597</v>
      </c>
      <c r="D33" s="536" t="n">
        <v>1.12949</v>
      </c>
      <c r="E33" s="536" t="n">
        <v>823.42092</v>
      </c>
      <c r="F33" s="536" t="n">
        <v>305.706078126625</v>
      </c>
      <c r="G33" s="540" t="n">
        <f aca="false">D33*E33/F33</f>
        <v>3.04228722120981</v>
      </c>
      <c r="H33" s="0" t="str">
        <f aca="false">VLOOKUP(C33,'11.Region'!$B$22:$E$243,4,FALSE())</f>
        <v>Africa</v>
      </c>
      <c r="I33" s="541" t="n">
        <f aca="false">G33</f>
        <v>3.04228722120981</v>
      </c>
    </row>
    <row r="34" customFormat="false" ht="15" hidden="false" customHeight="false" outlineLevel="0" collapsed="false">
      <c r="C34" s="539" t="s">
        <v>505</v>
      </c>
      <c r="D34" s="536" t="n">
        <v>1.12949</v>
      </c>
      <c r="E34" s="536" t="n">
        <v>9.57992</v>
      </c>
      <c r="F34" s="536" t="n">
        <v>3.54686354775819</v>
      </c>
      <c r="G34" s="540" t="n">
        <f aca="false">D34*E34/F34</f>
        <v>3.050702034376</v>
      </c>
      <c r="H34" s="0" t="str">
        <f aca="false">VLOOKUP(C34,'11.Region'!$B$22:$E$243,4,FALSE())</f>
        <v>Africa</v>
      </c>
      <c r="I34" s="541" t="n">
        <f aca="false">G34</f>
        <v>3.050702034376</v>
      </c>
    </row>
    <row r="35" customFormat="false" ht="15" hidden="false" customHeight="false" outlineLevel="0" collapsed="false">
      <c r="C35" s="539" t="s">
        <v>297</v>
      </c>
      <c r="D35" s="536" t="n">
        <v>1.12949</v>
      </c>
      <c r="E35" s="536" t="n">
        <v>581.57419</v>
      </c>
      <c r="F35" s="536" t="n">
        <v>212.700771970014</v>
      </c>
      <c r="G35" s="540" t="n">
        <f aca="false">D35*E35/F35</f>
        <v>3.08829265535391</v>
      </c>
      <c r="H35" s="0" t="str">
        <f aca="false">VLOOKUP(C35,'11.Region'!$B$22:$E$243,4,FALSE())</f>
        <v>Africa</v>
      </c>
      <c r="I35" s="541" t="n">
        <f aca="false">G35</f>
        <v>3.08829265535391</v>
      </c>
    </row>
    <row r="36" customFormat="false" ht="15" hidden="false" customHeight="false" outlineLevel="0" collapsed="false">
      <c r="C36" s="539" t="s">
        <v>299</v>
      </c>
      <c r="D36" s="536" t="n">
        <v>1.12949</v>
      </c>
      <c r="E36" s="536" t="n">
        <v>581.57419</v>
      </c>
      <c r="F36" s="536" t="n">
        <v>208.924006880881</v>
      </c>
      <c r="G36" s="540" t="n">
        <f aca="false">D36*E36/F36</f>
        <v>3.14412039894307</v>
      </c>
      <c r="H36" s="0" t="str">
        <f aca="false">VLOOKUP(C36,'11.Region'!$B$22:$E$243,4,FALSE())</f>
        <v>Africa</v>
      </c>
      <c r="I36" s="541" t="n">
        <f aca="false">G36</f>
        <v>3.14412039894307</v>
      </c>
    </row>
    <row r="37" customFormat="false" ht="15" hidden="false" customHeight="false" outlineLevel="0" collapsed="false">
      <c r="C37" s="539" t="s">
        <v>405</v>
      </c>
      <c r="D37" s="536" t="n">
        <v>1.12949</v>
      </c>
      <c r="E37" s="536" t="n">
        <v>4.379563096</v>
      </c>
      <c r="F37" s="536" t="n">
        <v>1.53866712711638</v>
      </c>
      <c r="G37" s="540" t="n">
        <f aca="false">D37*E37/F37</f>
        <v>3.21490765229489</v>
      </c>
      <c r="H37" s="0" t="str">
        <f aca="false">VLOOKUP(C37,'11.Region'!$B$22:$E$243,4,FALSE())</f>
        <v>Africa</v>
      </c>
      <c r="I37" s="541" t="n">
        <f aca="false">G37</f>
        <v>3.21490765229489</v>
      </c>
    </row>
    <row r="38" customFormat="false" ht="15" hidden="false" customHeight="false" outlineLevel="0" collapsed="false">
      <c r="C38" s="539" t="s">
        <v>641</v>
      </c>
      <c r="D38" s="536" t="n">
        <v>1.12949</v>
      </c>
      <c r="E38" s="536" t="n">
        <v>581.90317</v>
      </c>
      <c r="F38" s="536" t="n">
        <v>200.876869467229</v>
      </c>
      <c r="G38" s="540" t="n">
        <f aca="false">D38*E38/F38</f>
        <v>3.27192380698926</v>
      </c>
      <c r="H38" s="0" t="str">
        <f aca="false">VLOOKUP(C38,'11.Region'!$B$22:$E$243,4,FALSE())</f>
        <v>Africa</v>
      </c>
      <c r="I38" s="541" t="n">
        <f aca="false">G38</f>
        <v>3.27192380698926</v>
      </c>
    </row>
    <row r="39" customFormat="false" ht="15" hidden="false" customHeight="false" outlineLevel="0" collapsed="false">
      <c r="C39" s="539" t="s">
        <v>533</v>
      </c>
      <c r="D39" s="536" t="n">
        <v>1.12949</v>
      </c>
      <c r="E39" s="536" t="n">
        <v>63.95229</v>
      </c>
      <c r="F39" s="536" t="n">
        <v>21.2034188057773</v>
      </c>
      <c r="G39" s="540" t="n">
        <f aca="false">D39*E39/F39</f>
        <v>3.40668986891956</v>
      </c>
      <c r="H39" s="0" t="str">
        <f aca="false">VLOOKUP(C39,'11.Region'!$B$22:$E$243,4,FALSE())</f>
        <v>Africa</v>
      </c>
      <c r="I39" s="541" t="n">
        <f aca="false">G39</f>
        <v>3.40668986891956</v>
      </c>
    </row>
    <row r="40" customFormat="false" ht="15" hidden="false" customHeight="false" outlineLevel="0" collapsed="false">
      <c r="C40" s="539" t="s">
        <v>663</v>
      </c>
      <c r="D40" s="536" t="n">
        <v>1.12949</v>
      </c>
      <c r="E40" s="536" t="n">
        <v>2203.9815</v>
      </c>
      <c r="F40" s="536" t="n">
        <v>708.429875424941</v>
      </c>
      <c r="G40" s="540" t="n">
        <f aca="false">D40*E40/F40</f>
        <v>3.51393292517737</v>
      </c>
      <c r="H40" s="0" t="str">
        <f aca="false">VLOOKUP(C40,'11.Region'!$B$22:$E$243,4,FALSE())</f>
        <v>Africa</v>
      </c>
      <c r="I40" s="541" t="n">
        <f aca="false">G40</f>
        <v>3.51393292517737</v>
      </c>
    </row>
    <row r="41" customFormat="false" ht="15" hidden="false" customHeight="false" outlineLevel="0" collapsed="false">
      <c r="C41" s="539" t="s">
        <v>609</v>
      </c>
      <c r="D41" s="536" t="n">
        <v>1.12949</v>
      </c>
      <c r="E41" s="536" t="n">
        <v>7455.17468</v>
      </c>
      <c r="F41" s="536" t="n">
        <v>2393.50987734811</v>
      </c>
      <c r="G41" s="540" t="n">
        <f aca="false">D41*E41/F41</f>
        <v>3.51807415921038</v>
      </c>
      <c r="H41" s="0" t="str">
        <f aca="false">VLOOKUP(C41,'11.Region'!$B$22:$E$243,4,FALSE())</f>
        <v>Africa</v>
      </c>
      <c r="I41" s="541" t="n">
        <f aca="false">G41</f>
        <v>3.51807415921038</v>
      </c>
    </row>
    <row r="42" customFormat="false" ht="15" hidden="false" customHeight="false" outlineLevel="0" collapsed="false">
      <c r="C42" s="539" t="s">
        <v>665</v>
      </c>
      <c r="D42" s="536" t="n">
        <v>1.12949</v>
      </c>
      <c r="E42" s="536" t="n">
        <v>3572.01577</v>
      </c>
      <c r="F42" s="536" t="n">
        <v>1143.47241450334</v>
      </c>
      <c r="G42" s="540" t="n">
        <f aca="false">D42*E42/F42</f>
        <v>3.52833705552021</v>
      </c>
      <c r="H42" s="0" t="str">
        <f aca="false">VLOOKUP(C42,'11.Region'!$B$22:$E$243,4,FALSE())</f>
        <v>Africa</v>
      </c>
      <c r="I42" s="541" t="n">
        <f aca="false">G42</f>
        <v>3.52833705552021</v>
      </c>
    </row>
    <row r="43" customFormat="false" ht="15" hidden="false" customHeight="false" outlineLevel="0" collapsed="false">
      <c r="C43" s="539" t="s">
        <v>549</v>
      </c>
      <c r="D43" s="536" t="n">
        <v>1.12949</v>
      </c>
      <c r="E43" s="536" t="n">
        <v>331.66749</v>
      </c>
      <c r="F43" s="536" t="n">
        <v>102.709364222796</v>
      </c>
      <c r="G43" s="540" t="n">
        <f aca="false">D43*E43/F43</f>
        <v>3.64733163441153</v>
      </c>
      <c r="H43" s="0" t="str">
        <f aca="false">VLOOKUP(C43,'11.Region'!$B$22:$E$243,4,FALSE())</f>
        <v>Africa</v>
      </c>
      <c r="I43" s="541" t="n">
        <f aca="false">G43</f>
        <v>3.64733163441153</v>
      </c>
    </row>
    <row r="44" customFormat="false" ht="15" hidden="false" customHeight="false" outlineLevel="0" collapsed="false">
      <c r="C44" s="539" t="s">
        <v>345</v>
      </c>
      <c r="D44" s="536" t="n">
        <v>1.12949</v>
      </c>
      <c r="E44" s="536" t="n">
        <v>581.90317</v>
      </c>
      <c r="F44" s="536" t="n">
        <v>180.094206627859</v>
      </c>
      <c r="G44" s="540" t="n">
        <f aca="false">D44*E44/F44</f>
        <v>3.6495000244035</v>
      </c>
      <c r="H44" s="0" t="str">
        <f aca="false">VLOOKUP(C44,'11.Region'!$B$22:$E$243,4,FALSE())</f>
        <v>Africa</v>
      </c>
      <c r="I44" s="541" t="n">
        <f aca="false">G44</f>
        <v>3.6495000244035</v>
      </c>
    </row>
    <row r="45" customFormat="false" ht="15" hidden="false" customHeight="false" outlineLevel="0" collapsed="false">
      <c r="C45" s="539" t="s">
        <v>657</v>
      </c>
      <c r="D45" s="536" t="n">
        <v>1.12949</v>
      </c>
      <c r="E45" s="536" t="n">
        <v>2.39372</v>
      </c>
      <c r="F45" s="536" t="n">
        <v>0.709070923019958</v>
      </c>
      <c r="G45" s="540" t="n">
        <f aca="false">D45*E45/F45</f>
        <v>3.81299347501787</v>
      </c>
      <c r="H45" s="0" t="str">
        <f aca="false">VLOOKUP(C45,'11.Region'!$B$22:$E$243,4,FALSE())</f>
        <v>Africa</v>
      </c>
      <c r="I45" s="541" t="n">
        <f aca="false">G45</f>
        <v>3.81299347501787</v>
      </c>
    </row>
    <row r="46" customFormat="false" ht="15" hidden="false" customHeight="false" outlineLevel="0" collapsed="false">
      <c r="C46" s="539" t="s">
        <v>511</v>
      </c>
      <c r="D46" s="536" t="n">
        <v>1.12949</v>
      </c>
      <c r="E46" s="536" t="n">
        <v>3082.79126</v>
      </c>
      <c r="F46" s="536" t="n">
        <v>901.185877596255</v>
      </c>
      <c r="G46" s="540" t="n">
        <f aca="false">D46*E46/F46</f>
        <v>3.86377770315813</v>
      </c>
      <c r="H46" s="0" t="str">
        <f aca="false">VLOOKUP(C46,'11.Region'!$B$22:$E$243,4,FALSE())</f>
        <v>Africa</v>
      </c>
      <c r="I46" s="541" t="n">
        <f aca="false">G46</f>
        <v>3.86377770315813</v>
      </c>
    </row>
    <row r="47" customFormat="false" ht="15" hidden="false" customHeight="false" outlineLevel="0" collapsed="false">
      <c r="C47" s="539" t="s">
        <v>411</v>
      </c>
      <c r="D47" s="536" t="n">
        <v>1.12949</v>
      </c>
      <c r="E47" s="536" t="n">
        <v>44.95457</v>
      </c>
      <c r="F47" s="536" t="n">
        <v>13.1299270599643</v>
      </c>
      <c r="G47" s="540" t="n">
        <f aca="false">D47*E47/F47</f>
        <v>3.86717588280632</v>
      </c>
      <c r="H47" s="0" t="str">
        <f aca="false">VLOOKUP(C47,'11.Region'!$B$22:$E$243,4,FALSE())</f>
        <v>Africa</v>
      </c>
      <c r="I47" s="541" t="n">
        <f aca="false">G47</f>
        <v>3.86717588280632</v>
      </c>
    </row>
    <row r="48" customFormat="false" ht="15" hidden="false" customHeight="false" outlineLevel="0" collapsed="false">
      <c r="C48" s="539" t="s">
        <v>535</v>
      </c>
      <c r="D48" s="536" t="n">
        <v>1.12949</v>
      </c>
      <c r="E48" s="536" t="n">
        <v>354.70191</v>
      </c>
      <c r="F48" s="536" t="n">
        <v>102.914772361353</v>
      </c>
      <c r="G48" s="540" t="n">
        <f aca="false">D48*E48/F48</f>
        <v>3.89285474896845</v>
      </c>
      <c r="H48" s="0" t="str">
        <f aca="false">VLOOKUP(C48,'11.Region'!$B$22:$E$243,4,FALSE())</f>
        <v>Africa</v>
      </c>
      <c r="I48" s="541" t="n">
        <f aca="false">G48</f>
        <v>3.89285474896845</v>
      </c>
    </row>
    <row r="49" customFormat="false" ht="15" hidden="false" customHeight="false" outlineLevel="0" collapsed="false">
      <c r="C49" s="539" t="s">
        <v>539</v>
      </c>
      <c r="D49" s="536" t="n">
        <v>1.12949</v>
      </c>
      <c r="E49" s="536" t="n">
        <v>718.93711</v>
      </c>
      <c r="F49" s="536" t="n">
        <v>205.611763569026</v>
      </c>
      <c r="G49" s="540" t="n">
        <f aca="false">D49*E49/F49</f>
        <v>3.94934736358746</v>
      </c>
      <c r="H49" s="0" t="str">
        <f aca="false">VLOOKUP(C49,'11.Region'!$B$22:$E$243,4,FALSE())</f>
        <v>Africa</v>
      </c>
      <c r="I49" s="541" t="n">
        <f aca="false">G49</f>
        <v>3.94934736358746</v>
      </c>
    </row>
    <row r="50" customFormat="false" ht="15" hidden="false" customHeight="false" outlineLevel="0" collapsed="false">
      <c r="C50" s="539" t="s">
        <v>375</v>
      </c>
      <c r="D50" s="536" t="n">
        <v>1.12949</v>
      </c>
      <c r="E50" s="536" t="n">
        <v>110.44233</v>
      </c>
      <c r="F50" s="536" t="n">
        <v>29.9557277566339</v>
      </c>
      <c r="G50" s="540" t="n">
        <f aca="false">D50*E50/F50</f>
        <v>4.16426228483382</v>
      </c>
      <c r="H50" s="0" t="str">
        <f aca="false">VLOOKUP(C50,'11.Region'!$B$22:$E$243,4,FALSE())</f>
        <v>Africa</v>
      </c>
      <c r="I50" s="541" t="n">
        <f aca="false">G50</f>
        <v>4.16426228483382</v>
      </c>
    </row>
    <row r="51" customFormat="false" ht="15" hidden="false" customHeight="false" outlineLevel="0" collapsed="false">
      <c r="C51" s="539" t="s">
        <v>379</v>
      </c>
      <c r="D51" s="536" t="n">
        <v>1.12949</v>
      </c>
      <c r="E51" s="536" t="n">
        <v>17.8138</v>
      </c>
      <c r="F51" s="536" t="n">
        <v>3.07101784206236</v>
      </c>
      <c r="G51" s="540" t="n">
        <f aca="false">D51*E51/F51</f>
        <v>6.55173951984856</v>
      </c>
      <c r="H51" s="0" t="str">
        <f aca="false">VLOOKUP(C51,'11.Region'!$B$22:$E$243,4,FALSE())</f>
        <v>Africa</v>
      </c>
      <c r="I51" s="541" t="n">
        <f aca="false">G51</f>
        <v>6.55173951984856</v>
      </c>
    </row>
    <row r="52" customFormat="false" ht="15" hidden="false" customHeight="false" outlineLevel="0" collapsed="false">
      <c r="C52" s="539" t="s">
        <v>483</v>
      </c>
      <c r="D52" s="536" t="n">
        <v>1.12949</v>
      </c>
      <c r="E52" s="544" t="n">
        <v>102.73307</v>
      </c>
      <c r="F52" s="544" t="n">
        <v>0.551820541973775</v>
      </c>
      <c r="G52" s="540" t="n">
        <f aca="false">D52*E52/F52</f>
        <v>210.278462666971</v>
      </c>
      <c r="H52" s="0" t="str">
        <f aca="false">VLOOKUP(C52,'11.Region'!$B$22:$E$243,4,FALSE())</f>
        <v>Africa</v>
      </c>
      <c r="I52" s="541" t="n">
        <f aca="false">$K$3</f>
        <v>3.03256163278312</v>
      </c>
      <c r="J52" s="0" t="s">
        <v>263</v>
      </c>
    </row>
    <row r="53" customFormat="false" ht="15" hidden="false" customHeight="false" outlineLevel="0" collapsed="false">
      <c r="C53" s="539" t="s">
        <v>367</v>
      </c>
      <c r="D53" s="536" t="n">
        <v>1.12949</v>
      </c>
      <c r="E53" s="536" t="n">
        <v>177.71958</v>
      </c>
      <c r="G53" s="540" t="e">
        <f aca="false">D53*E53/F53</f>
        <v>#DIV/0!</v>
      </c>
      <c r="H53" s="0" t="str">
        <f aca="false">VLOOKUP(C53,'11.Region'!$B$22:$E$243,4,FALSE())</f>
        <v>Africa</v>
      </c>
      <c r="I53" s="541" t="n">
        <f aca="false">$K$3</f>
        <v>3.03256163278312</v>
      </c>
      <c r="J53" s="0" t="s">
        <v>263</v>
      </c>
    </row>
    <row r="54" customFormat="false" ht="15" hidden="false" customHeight="false" outlineLevel="0" collapsed="false">
      <c r="C54" s="539" t="s">
        <v>381</v>
      </c>
      <c r="D54" s="536" t="n">
        <v>1.12949</v>
      </c>
      <c r="G54" s="540" t="e">
        <f aca="false">D54*E54/F54</f>
        <v>#DIV/0!</v>
      </c>
      <c r="H54" s="0" t="str">
        <f aca="false">VLOOKUP(C54,'11.Region'!$B$22:$E$243,4,FALSE())</f>
        <v>Africa</v>
      </c>
      <c r="I54" s="541" t="n">
        <f aca="false">$K$3</f>
        <v>3.03256163278312</v>
      </c>
      <c r="J54" s="0" t="s">
        <v>263</v>
      </c>
    </row>
    <row r="55" customFormat="false" ht="15" hidden="false" customHeight="false" outlineLevel="0" collapsed="false">
      <c r="C55" s="539" t="s">
        <v>615</v>
      </c>
      <c r="D55" s="536" t="n">
        <v>1.12949</v>
      </c>
      <c r="E55" s="536" t="n">
        <v>545.65568</v>
      </c>
      <c r="G55" s="540" t="e">
        <f aca="false">D55*E55/F55</f>
        <v>#DIV/0!</v>
      </c>
      <c r="H55" s="0" t="str">
        <f aca="false">VLOOKUP(C55,'11.Region'!$B$22:$E$243,4,FALSE())</f>
        <v>Africa</v>
      </c>
      <c r="I55" s="541" t="n">
        <f aca="false">$K$3</f>
        <v>3.03256163278312</v>
      </c>
      <c r="J55" s="0" t="s">
        <v>263</v>
      </c>
    </row>
    <row r="56" customFormat="false" ht="15" hidden="false" customHeight="false" outlineLevel="0" collapsed="false">
      <c r="C56" s="539" t="s">
        <v>619</v>
      </c>
      <c r="D56" s="536" t="n">
        <v>1.12949</v>
      </c>
      <c r="F56" s="536" t="n">
        <v>0</v>
      </c>
      <c r="G56" s="540" t="e">
        <f aca="false">D56*E56/F56</f>
        <v>#DIV/0!</v>
      </c>
      <c r="H56" s="0" t="str">
        <f aca="false">VLOOKUP(C56,'11.Region'!$B$22:$E$243,4,FALSE())</f>
        <v>Africa</v>
      </c>
      <c r="I56" s="541" t="n">
        <f aca="false">$K$3</f>
        <v>3.03256163278312</v>
      </c>
      <c r="J56" s="0" t="s">
        <v>263</v>
      </c>
    </row>
    <row r="57" customFormat="false" ht="15" hidden="false" customHeight="false" outlineLevel="0" collapsed="false">
      <c r="C57" s="539" t="s">
        <v>307</v>
      </c>
      <c r="D57" s="536" t="n">
        <v>1.12949</v>
      </c>
      <c r="E57" s="536" t="n">
        <v>1</v>
      </c>
      <c r="F57" s="536" t="n">
        <v>1.01090506442159</v>
      </c>
      <c r="G57" s="540" t="n">
        <f aca="false">D57*E57/F57</f>
        <v>1.11730570926189</v>
      </c>
      <c r="H57" s="0" t="str">
        <f aca="false">VLOOKUP(C57,'11.Region'!$B$22:$E$243,4,FALSE())</f>
        <v>Americas</v>
      </c>
      <c r="I57" s="541" t="n">
        <f aca="false">G57</f>
        <v>1.11730570926189</v>
      </c>
      <c r="K57" s="542" t="n">
        <f aca="false">AVERAGE(G57:G89)</f>
        <v>1.96289944979353</v>
      </c>
      <c r="L57" s="543" t="s">
        <v>262</v>
      </c>
    </row>
    <row r="58" customFormat="false" ht="15" hidden="false" customHeight="false" outlineLevel="0" collapsed="false">
      <c r="C58" s="539" t="s">
        <v>671</v>
      </c>
      <c r="D58" s="536" t="n">
        <v>1.12949</v>
      </c>
      <c r="E58" s="536" t="n">
        <v>1</v>
      </c>
      <c r="F58" s="536" t="n">
        <v>1</v>
      </c>
      <c r="G58" s="540" t="n">
        <f aca="false">D58*E58/F58</f>
        <v>1.12949</v>
      </c>
      <c r="H58" s="0" t="str">
        <f aca="false">VLOOKUP(C58,'11.Region'!$B$22:$E$243,4,FALSE())</f>
        <v>Americas</v>
      </c>
      <c r="I58" s="541" t="n">
        <f aca="false">G58</f>
        <v>1.12949</v>
      </c>
    </row>
    <row r="59" customFormat="false" ht="15" hidden="false" customHeight="false" outlineLevel="0" collapsed="false">
      <c r="C59" s="539" t="s">
        <v>331</v>
      </c>
      <c r="D59" s="536" t="n">
        <v>1.12949</v>
      </c>
      <c r="E59" s="545" t="n">
        <v>1.298</v>
      </c>
      <c r="F59" s="536" t="n">
        <v>1.260086</v>
      </c>
      <c r="G59" s="540" t="n">
        <f aca="false">D59*E59/F59</f>
        <v>1.16347457237046</v>
      </c>
      <c r="H59" s="0" t="str">
        <f aca="false">VLOOKUP(C59,'11.Region'!$B$22:$E$243,4,FALSE())</f>
        <v>Americas</v>
      </c>
      <c r="I59" s="541" t="n">
        <f aca="false">G59</f>
        <v>1.16347457237046</v>
      </c>
    </row>
    <row r="60" customFormat="false" ht="15" hidden="false" customHeight="false" outlineLevel="0" collapsed="false">
      <c r="C60" s="539" t="s">
        <v>321</v>
      </c>
      <c r="D60" s="536" t="n">
        <v>1.12949</v>
      </c>
      <c r="E60" s="536" t="n">
        <v>2</v>
      </c>
      <c r="F60" s="536" t="n">
        <v>1.80141392038228</v>
      </c>
      <c r="G60" s="540" t="n">
        <f aca="false">D60*E60/F60</f>
        <v>1.25400385466135</v>
      </c>
      <c r="H60" s="0" t="str">
        <f aca="false">VLOOKUP(C60,'11.Region'!$B$22:$E$243,4,FALSE())</f>
        <v>Americas</v>
      </c>
      <c r="I60" s="541" t="n">
        <f aca="false">G60</f>
        <v>1.25400385466135</v>
      </c>
    </row>
    <row r="61" customFormat="false" ht="15" hidden="false" customHeight="false" outlineLevel="0" collapsed="false">
      <c r="C61" s="539" t="s">
        <v>669</v>
      </c>
      <c r="D61" s="536" t="n">
        <v>1.12949</v>
      </c>
      <c r="E61" s="536" t="n">
        <v>28.2364</v>
      </c>
      <c r="F61" s="536" t="n">
        <v>21.7593822626899</v>
      </c>
      <c r="G61" s="540" t="n">
        <f aca="false">D61*E61/F61</f>
        <v>1.46570022305667</v>
      </c>
      <c r="H61" s="0" t="str">
        <f aca="false">VLOOKUP(C61,'11.Region'!$B$22:$E$243,4,FALSE())</f>
        <v>Americas</v>
      </c>
      <c r="I61" s="541" t="n">
        <f aca="false">G61</f>
        <v>1.46570022305667</v>
      </c>
    </row>
    <row r="62" customFormat="false" ht="15" hidden="false" customHeight="false" outlineLevel="0" collapsed="false">
      <c r="C62" s="539" t="s">
        <v>369</v>
      </c>
      <c r="D62" s="536" t="n">
        <v>1.12949</v>
      </c>
      <c r="E62" s="536" t="n">
        <v>2.7</v>
      </c>
      <c r="F62" s="536" t="n">
        <v>1.93465653722583</v>
      </c>
      <c r="G62" s="540" t="n">
        <f aca="false">D62*E62/F62</f>
        <v>1.57631235380568</v>
      </c>
      <c r="H62" s="0" t="str">
        <f aca="false">VLOOKUP(C62,'11.Region'!$B$22:$E$243,4,FALSE())</f>
        <v>Americas</v>
      </c>
      <c r="I62" s="541" t="n">
        <f aca="false">G62</f>
        <v>1.57631235380568</v>
      </c>
    </row>
    <row r="63" customFormat="false" ht="15" hidden="false" customHeight="false" outlineLevel="0" collapsed="false">
      <c r="C63" s="539" t="s">
        <v>353</v>
      </c>
      <c r="D63" s="536" t="n">
        <v>1.12949</v>
      </c>
      <c r="E63" s="536" t="n">
        <v>553.84983</v>
      </c>
      <c r="F63" s="536" t="n">
        <v>390.705340687035</v>
      </c>
      <c r="G63" s="540" t="n">
        <f aca="false">D63*E63/F63</f>
        <v>1.60112437517919</v>
      </c>
      <c r="H63" s="0" t="str">
        <f aca="false">VLOOKUP(C63,'11.Region'!$B$22:$E$243,4,FALSE())</f>
        <v>Americas</v>
      </c>
      <c r="I63" s="541" t="n">
        <f aca="false">G63</f>
        <v>1.60112437517919</v>
      </c>
    </row>
    <row r="64" customFormat="false" ht="15" hidden="false" customHeight="false" outlineLevel="0" collapsed="false">
      <c r="C64" s="539" t="s">
        <v>419</v>
      </c>
      <c r="D64" s="536" t="n">
        <v>1.12949</v>
      </c>
      <c r="E64" s="536" t="n">
        <v>2.7</v>
      </c>
      <c r="F64" s="536" t="n">
        <v>1.87721935292305</v>
      </c>
      <c r="G64" s="540" t="n">
        <f aca="false">D64*E64/F64</f>
        <v>1.62454270208294</v>
      </c>
      <c r="H64" s="0" t="str">
        <f aca="false">VLOOKUP(C64,'11.Region'!$B$22:$E$243,4,FALSE())</f>
        <v>Americas</v>
      </c>
      <c r="I64" s="541" t="n">
        <f aca="false">G64</f>
        <v>1.62454270208294</v>
      </c>
    </row>
    <row r="65" customFormat="false" ht="15" hidden="false" customHeight="false" outlineLevel="0" collapsed="false">
      <c r="C65" s="539" t="s">
        <v>278</v>
      </c>
      <c r="D65" s="536" t="n">
        <v>1.12949</v>
      </c>
      <c r="E65" s="546" t="n">
        <v>16.5321</v>
      </c>
      <c r="F65" s="536" t="n">
        <v>11.4735355191664</v>
      </c>
      <c r="G65" s="540" t="n">
        <f aca="false">D65*E65/F65</f>
        <v>1.62747059071785</v>
      </c>
      <c r="H65" s="0" t="str">
        <f aca="false">VLOOKUP(C65,'11.Region'!$B$22:$E$243,4,FALSE())</f>
        <v>Americas</v>
      </c>
      <c r="I65" s="541" t="n">
        <f aca="false">G65</f>
        <v>1.62747059071785</v>
      </c>
    </row>
    <row r="66" customFormat="false" ht="15" hidden="false" customHeight="false" outlineLevel="0" collapsed="false">
      <c r="C66" s="539" t="s">
        <v>487</v>
      </c>
      <c r="D66" s="536" t="n">
        <v>1.12949</v>
      </c>
      <c r="E66" s="536" t="n">
        <v>2.7</v>
      </c>
      <c r="F66" s="536" t="n">
        <v>1.81800302884694</v>
      </c>
      <c r="G66" s="540" t="n">
        <f aca="false">D66*E66/F66</f>
        <v>1.67745760134086</v>
      </c>
      <c r="H66" s="0" t="str">
        <f aca="false">VLOOKUP(C66,'11.Region'!$B$22:$E$243,4,FALSE())</f>
        <v>Americas</v>
      </c>
      <c r="I66" s="541" t="n">
        <f aca="false">G66</f>
        <v>1.67745760134086</v>
      </c>
    </row>
    <row r="67" customFormat="false" ht="15" hidden="false" customHeight="false" outlineLevel="0" collapsed="false">
      <c r="C67" s="539" t="s">
        <v>335</v>
      </c>
      <c r="D67" s="536" t="n">
        <v>1.12949</v>
      </c>
      <c r="E67" s="536" t="n">
        <v>645.82664</v>
      </c>
      <c r="F67" s="536" t="n">
        <v>413.423606</v>
      </c>
      <c r="G67" s="540" t="n">
        <f aca="false">D67*E67/F67</f>
        <v>1.76442448139645</v>
      </c>
      <c r="H67" s="0" t="str">
        <f aca="false">VLOOKUP(C67,'11.Region'!$B$22:$E$243,4,FALSE())</f>
        <v>Americas</v>
      </c>
      <c r="I67" s="541" t="n">
        <f aca="false">G67</f>
        <v>1.76442448139645</v>
      </c>
    </row>
    <row r="68" customFormat="false" ht="15" hidden="false" customHeight="false" outlineLevel="0" collapsed="false">
      <c r="C68" s="539" t="s">
        <v>285</v>
      </c>
      <c r="D68" s="536" t="n">
        <v>1.12949</v>
      </c>
      <c r="E68" s="536" t="n">
        <v>2.7</v>
      </c>
      <c r="F68" s="536" t="n">
        <v>1.71903062463935</v>
      </c>
      <c r="G68" s="540" t="n">
        <f aca="false">D68*E68/F68</f>
        <v>1.77403645769243</v>
      </c>
      <c r="H68" s="0" t="str">
        <f aca="false">VLOOKUP(C68,'11.Region'!$B$22:$E$243,4,FALSE())</f>
        <v>Americas</v>
      </c>
      <c r="I68" s="541" t="n">
        <f aca="false">G68</f>
        <v>1.77403645769243</v>
      </c>
    </row>
    <row r="69" customFormat="false" ht="15" hidden="false" customHeight="false" outlineLevel="0" collapsed="false">
      <c r="C69" s="539" t="s">
        <v>319</v>
      </c>
      <c r="D69" s="536" t="n">
        <v>1.12949</v>
      </c>
      <c r="E69" s="536" t="n">
        <v>3.19072</v>
      </c>
      <c r="F69" s="536" t="n">
        <v>2.02434577683181</v>
      </c>
      <c r="G69" s="540" t="n">
        <f aca="false">D69*E69/F69</f>
        <v>1.78027211262309</v>
      </c>
      <c r="H69" s="0" t="str">
        <f aca="false">VLOOKUP(C69,'11.Region'!$B$22:$E$243,4,FALSE())</f>
        <v>Americas</v>
      </c>
      <c r="I69" s="541" t="n">
        <f aca="false">G69</f>
        <v>1.78027211262309</v>
      </c>
    </row>
    <row r="70" customFormat="false" ht="15" hidden="false" customHeight="false" outlineLevel="0" collapsed="false">
      <c r="C70" s="539" t="s">
        <v>473</v>
      </c>
      <c r="D70" s="536" t="n">
        <v>1.12949</v>
      </c>
      <c r="E70" s="536" t="n">
        <v>2.7</v>
      </c>
      <c r="F70" s="536" t="n">
        <v>1.70478903847639</v>
      </c>
      <c r="G70" s="540" t="n">
        <f aca="false">D70*E70/F70</f>
        <v>1.78885652779978</v>
      </c>
      <c r="H70" s="0" t="str">
        <f aca="false">VLOOKUP(C70,'11.Region'!$B$22:$E$243,4,FALSE())</f>
        <v>Americas</v>
      </c>
      <c r="I70" s="541" t="n">
        <f aca="false">G70</f>
        <v>1.78885652779978</v>
      </c>
    </row>
    <row r="71" customFormat="false" ht="15" hidden="false" customHeight="false" outlineLevel="0" collapsed="false">
      <c r="C71" s="539" t="s">
        <v>567</v>
      </c>
      <c r="D71" s="536" t="n">
        <v>1.12949</v>
      </c>
      <c r="E71" s="536" t="n">
        <v>1</v>
      </c>
      <c r="F71" s="536" t="n">
        <v>0.617184784399304</v>
      </c>
      <c r="G71" s="540" t="n">
        <f aca="false">D71*E71/F71</f>
        <v>1.83006779906169</v>
      </c>
      <c r="H71" s="0" t="str">
        <f aca="false">VLOOKUP(C71,'11.Region'!$B$22:$E$243,4,FALSE())</f>
        <v>Americas</v>
      </c>
      <c r="I71" s="541" t="n">
        <f aca="false">G71</f>
        <v>1.83006779906169</v>
      </c>
    </row>
    <row r="72" customFormat="false" ht="15" hidden="false" customHeight="false" outlineLevel="0" collapsed="false">
      <c r="C72" s="539" t="s">
        <v>675</v>
      </c>
      <c r="D72" s="536" t="n">
        <v>1.12949</v>
      </c>
      <c r="E72" s="536" t="n">
        <v>2.7</v>
      </c>
      <c r="F72" s="536" t="n">
        <v>1.64729847137889</v>
      </c>
      <c r="G72" s="540" t="n">
        <f aca="false">D72*E72/F72</f>
        <v>1.85128745821471</v>
      </c>
      <c r="H72" s="0" t="str">
        <f aca="false">VLOOKUP(C72,'11.Region'!$B$22:$E$243,4,FALSE())</f>
        <v>Americas</v>
      </c>
      <c r="I72" s="541" t="n">
        <f aca="false">G72</f>
        <v>1.85128745821471</v>
      </c>
    </row>
    <row r="73" customFormat="false" ht="15" hidden="false" customHeight="false" outlineLevel="0" collapsed="false">
      <c r="C73" s="539" t="s">
        <v>427</v>
      </c>
      <c r="D73" s="536" t="n">
        <v>1.12949</v>
      </c>
      <c r="E73" s="536" t="n">
        <v>198.80174</v>
      </c>
      <c r="F73" s="536" t="n">
        <v>119.542572517499</v>
      </c>
      <c r="G73" s="540" t="n">
        <f aca="false">D73*E73/F73</f>
        <v>1.87836494216092</v>
      </c>
      <c r="H73" s="0" t="str">
        <f aca="false">VLOOKUP(C73,'11.Region'!$B$22:$E$243,4,FALSE())</f>
        <v>Americas</v>
      </c>
      <c r="I73" s="541" t="n">
        <f aca="false">G73</f>
        <v>1.87836494216092</v>
      </c>
    </row>
    <row r="74" customFormat="false" ht="15" hidden="false" customHeight="false" outlineLevel="0" collapsed="false">
      <c r="C74" s="539" t="s">
        <v>457</v>
      </c>
      <c r="D74" s="536" t="n">
        <v>1.12949</v>
      </c>
      <c r="E74" s="536" t="n">
        <v>126.88546</v>
      </c>
      <c r="F74" s="536" t="n">
        <v>72.6865919237836</v>
      </c>
      <c r="G74" s="540" t="n">
        <f aca="false">D74*E74/F74</f>
        <v>1.97169594036924</v>
      </c>
      <c r="H74" s="0" t="str">
        <f aca="false">VLOOKUP(C74,'11.Region'!$B$22:$E$243,4,FALSE())</f>
        <v>Americas</v>
      </c>
      <c r="I74" s="541" t="n">
        <f aca="false">G74</f>
        <v>1.97169594036924</v>
      </c>
    </row>
    <row r="75" customFormat="false" ht="15" hidden="false" customHeight="false" outlineLevel="0" collapsed="false">
      <c r="C75" s="539" t="s">
        <v>313</v>
      </c>
      <c r="D75" s="536" t="n">
        <v>1.12949</v>
      </c>
      <c r="E75" s="536" t="n">
        <v>2</v>
      </c>
      <c r="F75" s="536" t="n">
        <v>1.14214172621669</v>
      </c>
      <c r="G75" s="540" t="n">
        <f aca="false">D75*E75/F75</f>
        <v>1.97784561070438</v>
      </c>
      <c r="H75" s="0" t="str">
        <f aca="false">VLOOKUP(C75,'11.Region'!$B$22:$E$243,4,FALSE())</f>
        <v>Americas</v>
      </c>
      <c r="I75" s="541" t="n">
        <f aca="false">G75</f>
        <v>1.97784561070438</v>
      </c>
    </row>
    <row r="76" customFormat="false" ht="15" hidden="false" customHeight="false" outlineLevel="0" collapsed="false">
      <c r="C76" s="539" t="s">
        <v>423</v>
      </c>
      <c r="D76" s="536" t="n">
        <v>1.12949</v>
      </c>
      <c r="E76" s="536" t="n">
        <v>7.18309</v>
      </c>
      <c r="F76" s="536" t="n">
        <v>4.03083771439375</v>
      </c>
      <c r="G76" s="540" t="n">
        <f aca="false">D76*E76/F76</f>
        <v>2.01278962314171</v>
      </c>
      <c r="H76" s="0" t="str">
        <f aca="false">VLOOKUP(C76,'11.Region'!$B$22:$E$243,4,FALSE())</f>
        <v>Americas</v>
      </c>
      <c r="I76" s="541" t="n">
        <f aca="false">G76</f>
        <v>2.01278962314171</v>
      </c>
    </row>
    <row r="77" customFormat="false" ht="15" hidden="false" customHeight="false" outlineLevel="0" collapsed="false">
      <c r="C77" s="539" t="s">
        <v>377</v>
      </c>
      <c r="D77" s="536" t="n">
        <v>1.12949</v>
      </c>
      <c r="E77" s="536" t="n">
        <v>1</v>
      </c>
      <c r="F77" s="536" t="n">
        <v>0.533590297937366</v>
      </c>
      <c r="G77" s="540" t="n">
        <f aca="false">D77*E77/F77</f>
        <v>2.11677387007622</v>
      </c>
      <c r="H77" s="0" t="str">
        <f aca="false">VLOOKUP(C77,'11.Region'!$B$22:$E$243,4,FALSE())</f>
        <v>Americas</v>
      </c>
      <c r="I77" s="541" t="n">
        <f aca="false">G77</f>
        <v>2.11677387007622</v>
      </c>
    </row>
    <row r="78" customFormat="false" ht="15" hidden="false" customHeight="false" outlineLevel="0" collapsed="false">
      <c r="C78" s="539" t="s">
        <v>655</v>
      </c>
      <c r="D78" s="536" t="n">
        <v>1.12949</v>
      </c>
      <c r="E78" s="536" t="n">
        <v>6.62864</v>
      </c>
      <c r="F78" s="536" t="n">
        <v>3.46221622700994</v>
      </c>
      <c r="G78" s="540" t="n">
        <f aca="false">D78*E78/F78</f>
        <v>2.1624826708371</v>
      </c>
      <c r="H78" s="0" t="str">
        <f aca="false">VLOOKUP(C78,'11.Region'!$B$22:$E$243,4,FALSE())</f>
        <v>Americas</v>
      </c>
      <c r="I78" s="541" t="n">
        <f aca="false">G78</f>
        <v>2.1624826708371</v>
      </c>
    </row>
    <row r="79" customFormat="false" ht="15" hidden="false" customHeight="false" outlineLevel="0" collapsed="false">
      <c r="C79" s="539" t="s">
        <v>431</v>
      </c>
      <c r="D79" s="536" t="n">
        <v>1.12949</v>
      </c>
      <c r="E79" s="536" t="n">
        <v>23.12483</v>
      </c>
      <c r="F79" s="536" t="n">
        <v>11.6823631907139</v>
      </c>
      <c r="G79" s="540" t="n">
        <f aca="false">D79*E79/F79</f>
        <v>2.2357860143795</v>
      </c>
      <c r="H79" s="0" t="str">
        <f aca="false">VLOOKUP(C79,'11.Region'!$B$22:$E$243,4,FALSE())</f>
        <v>Americas</v>
      </c>
      <c r="I79" s="541" t="n">
        <f aca="false">G79</f>
        <v>2.2357860143795</v>
      </c>
    </row>
    <row r="80" customFormat="false" ht="15" hidden="false" customHeight="false" outlineLevel="0" collapsed="false">
      <c r="C80" s="539" t="s">
        <v>569</v>
      </c>
      <c r="D80" s="536" t="n">
        <v>1.12949</v>
      </c>
      <c r="E80" s="536" t="n">
        <v>3.22299</v>
      </c>
      <c r="F80" s="536" t="n">
        <v>1.59512337178714</v>
      </c>
      <c r="G80" s="540" t="n">
        <f aca="false">D80*E80/F80</f>
        <v>2.28216515379713</v>
      </c>
      <c r="H80" s="0" t="str">
        <f aca="false">VLOOKUP(C80,'11.Region'!$B$22:$E$243,4,FALSE())</f>
        <v>Americas</v>
      </c>
      <c r="I80" s="541" t="n">
        <f aca="false">G80</f>
        <v>2.28216515379713</v>
      </c>
    </row>
    <row r="81" customFormat="false" ht="15" hidden="false" customHeight="false" outlineLevel="0" collapsed="false">
      <c r="C81" s="539" t="s">
        <v>515</v>
      </c>
      <c r="D81" s="536" t="n">
        <v>1.12949</v>
      </c>
      <c r="E81" s="536" t="n">
        <v>18.90363</v>
      </c>
      <c r="F81" s="536" t="n">
        <v>9.285451</v>
      </c>
      <c r="G81" s="540" t="n">
        <f aca="false">D81*E81/F81</f>
        <v>2.29945331128235</v>
      </c>
      <c r="H81" s="0" t="str">
        <f aca="false">VLOOKUP(C81,'11.Region'!$B$22:$E$243,4,FALSE())</f>
        <v>Americas</v>
      </c>
      <c r="I81" s="541" t="n">
        <f aca="false">G81</f>
        <v>2.29945331128235</v>
      </c>
    </row>
    <row r="82" customFormat="false" ht="15" hidden="false" customHeight="false" outlineLevel="0" collapsed="false">
      <c r="C82" s="539" t="s">
        <v>611</v>
      </c>
      <c r="D82" s="536" t="n">
        <v>1.12949</v>
      </c>
      <c r="E82" s="536" t="n">
        <v>1</v>
      </c>
      <c r="F82" s="536" t="n">
        <v>0.485795653310238</v>
      </c>
      <c r="G82" s="540" t="n">
        <f aca="false">D82*E82/F82</f>
        <v>2.32503109548962</v>
      </c>
      <c r="H82" s="0" t="str">
        <f aca="false">VLOOKUP(C82,'11.Region'!$B$22:$E$243,4,FALSE())</f>
        <v>Americas</v>
      </c>
      <c r="I82" s="541" t="n">
        <f aca="false">G82</f>
        <v>2.32503109548962</v>
      </c>
    </row>
    <row r="83" customFormat="false" ht="15" hidden="false" customHeight="false" outlineLevel="0" collapsed="false">
      <c r="C83" s="539" t="s">
        <v>317</v>
      </c>
      <c r="D83" s="536" t="n">
        <v>1.12949</v>
      </c>
      <c r="E83" s="536" t="n">
        <v>6.77749</v>
      </c>
      <c r="F83" s="536" t="n">
        <v>3.1022954198651</v>
      </c>
      <c r="G83" s="540" t="n">
        <f aca="false">D83*E83/F83</f>
        <v>2.46756228664802</v>
      </c>
      <c r="H83" s="0" t="str">
        <f aca="false">VLOOKUP(C83,'11.Region'!$B$22:$E$243,4,FALSE())</f>
        <v>Americas</v>
      </c>
      <c r="I83" s="541" t="n">
        <f aca="false">G83</f>
        <v>2.46756228664802</v>
      </c>
    </row>
    <row r="84" customFormat="false" ht="15" hidden="false" customHeight="false" outlineLevel="0" collapsed="false">
      <c r="C84" s="539" t="s">
        <v>585</v>
      </c>
      <c r="D84" s="536" t="n">
        <v>1.12949</v>
      </c>
      <c r="E84" s="536" t="n">
        <v>5513.89016</v>
      </c>
      <c r="F84" s="536" t="n">
        <v>2505.70901313975</v>
      </c>
      <c r="G84" s="540" t="n">
        <f aca="false">D84*E84/F84</f>
        <v>2.48547766885933</v>
      </c>
      <c r="H84" s="0" t="str">
        <f aca="false">VLOOKUP(C84,'11.Region'!$B$22:$E$243,4,FALSE())</f>
        <v>Americas</v>
      </c>
      <c r="I84" s="541" t="n">
        <f aca="false">G84</f>
        <v>2.48547766885933</v>
      </c>
    </row>
    <row r="85" customFormat="false" ht="15" hidden="false" customHeight="false" outlineLevel="0" collapsed="false">
      <c r="C85" s="539" t="s">
        <v>373</v>
      </c>
      <c r="D85" s="536" t="n">
        <v>1.12949</v>
      </c>
      <c r="E85" s="536" t="n">
        <v>46.83891</v>
      </c>
      <c r="F85" s="536" t="n">
        <v>20.9347456424888</v>
      </c>
      <c r="G85" s="540" t="n">
        <f aca="false">D85*E85/F85</f>
        <v>2.52709449445265</v>
      </c>
      <c r="H85" s="0" t="str">
        <f aca="false">VLOOKUP(C85,'11.Region'!$B$22:$E$243,4,FALSE())</f>
        <v>Americas</v>
      </c>
      <c r="I85" s="541" t="n">
        <f aca="false">G85</f>
        <v>2.52709449445265</v>
      </c>
    </row>
    <row r="86" customFormat="false" ht="15" hidden="false" customHeight="false" outlineLevel="0" collapsed="false">
      <c r="C86" s="539" t="s">
        <v>347</v>
      </c>
      <c r="D86" s="536" t="n">
        <v>1.12949</v>
      </c>
      <c r="E86" s="536" t="n">
        <v>2941.83494</v>
      </c>
      <c r="F86" s="536" t="n">
        <v>1278.0404018831</v>
      </c>
      <c r="G86" s="540" t="n">
        <f aca="false">D86*E86/F86</f>
        <v>2.59989679628651</v>
      </c>
      <c r="H86" s="0" t="str">
        <f aca="false">VLOOKUP(C86,'11.Region'!$B$22:$E$243,4,FALSE())</f>
        <v>Americas</v>
      </c>
      <c r="I86" s="541" t="n">
        <f aca="false">G86</f>
        <v>2.59989679628651</v>
      </c>
    </row>
    <row r="87" customFormat="false" ht="15" hidden="false" customHeight="false" outlineLevel="0" collapsed="false">
      <c r="C87" s="539" t="s">
        <v>435</v>
      </c>
      <c r="D87" s="536" t="n">
        <v>1.12949</v>
      </c>
      <c r="E87" s="536" t="n">
        <v>64.11254</v>
      </c>
      <c r="F87" s="536" t="n">
        <v>27.692046680367</v>
      </c>
      <c r="G87" s="540" t="n">
        <f aca="false">D87*E87/F87</f>
        <v>2.61499172092398</v>
      </c>
      <c r="H87" s="0" t="str">
        <f aca="false">VLOOKUP(C87,'11.Region'!$B$22:$E$243,4,FALSE())</f>
        <v>Americas</v>
      </c>
      <c r="I87" s="541" t="n">
        <f aca="false">G87</f>
        <v>2.61499172092398</v>
      </c>
    </row>
    <row r="88" customFormat="false" ht="15" hidden="false" customHeight="false" outlineLevel="0" collapsed="false">
      <c r="C88" s="539" t="s">
        <v>623</v>
      </c>
      <c r="D88" s="536" t="n">
        <v>1.12949</v>
      </c>
      <c r="E88" s="536" t="n">
        <v>7.4244</v>
      </c>
      <c r="F88" s="536" t="n">
        <v>2.92316603381348</v>
      </c>
      <c r="G88" s="540" t="n">
        <f aca="false">D88*E88/F88</f>
        <v>2.86873392034463</v>
      </c>
      <c r="H88" s="0" t="str">
        <f aca="false">VLOOKUP(C88,'11.Region'!$B$22:$E$243,4,FALSE())</f>
        <v>Americas</v>
      </c>
      <c r="I88" s="541" t="n">
        <f aca="false">G88</f>
        <v>2.86873392034463</v>
      </c>
    </row>
    <row r="89" customFormat="false" ht="15" hidden="false" customHeight="false" outlineLevel="0" collapsed="false">
      <c r="C89" s="539" t="s">
        <v>551</v>
      </c>
      <c r="D89" s="536" t="n">
        <v>1.12949</v>
      </c>
      <c r="E89" s="536" t="n">
        <v>29.58264</v>
      </c>
      <c r="F89" s="536" t="n">
        <v>11.4283896654604</v>
      </c>
      <c r="G89" s="540" t="n">
        <f aca="false">D89*E89/F89</f>
        <v>2.92370990416819</v>
      </c>
      <c r="H89" s="0" t="str">
        <f aca="false">VLOOKUP(C89,'11.Region'!$B$22:$E$243,4,FALSE())</f>
        <v>Americas</v>
      </c>
      <c r="I89" s="541" t="n">
        <f aca="false">G89</f>
        <v>2.92370990416819</v>
      </c>
    </row>
    <row r="90" customFormat="false" ht="15" hidden="false" customHeight="false" outlineLevel="0" collapsed="false">
      <c r="C90" s="539" t="s">
        <v>261</v>
      </c>
      <c r="D90" s="536" t="n">
        <v>1.12949</v>
      </c>
      <c r="E90" s="536" t="n">
        <v>1.78741</v>
      </c>
      <c r="G90" s="540" t="e">
        <f aca="false">D90*E90/F90</f>
        <v>#DIV/0!</v>
      </c>
      <c r="H90" s="0" t="str">
        <f aca="false">VLOOKUP(C90,'11.Region'!$B$22:$E$243,4,FALSE())</f>
        <v>Americas</v>
      </c>
      <c r="I90" s="541" t="n">
        <f aca="false">$K$57</f>
        <v>1.96289944979353</v>
      </c>
      <c r="J90" s="0" t="s">
        <v>263</v>
      </c>
    </row>
    <row r="91" customFormat="false" ht="15" hidden="false" customHeight="false" outlineLevel="0" collapsed="false">
      <c r="C91" s="539" t="s">
        <v>315</v>
      </c>
      <c r="D91" s="536" t="n">
        <v>1.12949</v>
      </c>
      <c r="E91" s="536" t="n">
        <v>1</v>
      </c>
      <c r="G91" s="540" t="e">
        <f aca="false">D91*E91/F91</f>
        <v>#DIV/0!</v>
      </c>
      <c r="H91" s="0" t="str">
        <f aca="false">VLOOKUP(C91,'11.Region'!$B$22:$E$243,4,FALSE())</f>
        <v>Americas</v>
      </c>
      <c r="I91" s="541" t="n">
        <f aca="false">$K$57</f>
        <v>1.96289944979353</v>
      </c>
      <c r="J91" s="0" t="s">
        <v>263</v>
      </c>
    </row>
    <row r="92" customFormat="false" ht="15" hidden="false" customHeight="false" outlineLevel="0" collapsed="false">
      <c r="C92" s="539" t="s">
        <v>355</v>
      </c>
      <c r="D92" s="536" t="n">
        <v>1.12949</v>
      </c>
      <c r="G92" s="540" t="e">
        <f aca="false">D92*E92/F92</f>
        <v>#DIV/0!</v>
      </c>
      <c r="H92" s="0" t="str">
        <f aca="false">VLOOKUP(C92,'11.Region'!$B$22:$E$243,4,FALSE())</f>
        <v>Americas</v>
      </c>
      <c r="I92" s="541" t="n">
        <f aca="false">$K$57</f>
        <v>1.96289944979353</v>
      </c>
      <c r="J92" s="0" t="s">
        <v>263</v>
      </c>
    </row>
    <row r="93" customFormat="false" ht="15" hidden="false" customHeight="false" outlineLevel="0" collapsed="false">
      <c r="C93" s="539" t="s">
        <v>357</v>
      </c>
      <c r="D93" s="536" t="n">
        <v>1.12949</v>
      </c>
      <c r="G93" s="540" t="e">
        <f aca="false">D93*E93/F93</f>
        <v>#DIV/0!</v>
      </c>
      <c r="H93" s="0" t="str">
        <f aca="false">VLOOKUP(C93,'11.Region'!$B$22:$E$243,4,FALSE())</f>
        <v>Americas</v>
      </c>
      <c r="I93" s="541" t="n">
        <f aca="false">$K$57</f>
        <v>1.96289944979353</v>
      </c>
      <c r="J93" s="0" t="s">
        <v>263</v>
      </c>
    </row>
    <row r="94" customFormat="false" ht="15" hidden="false" customHeight="false" outlineLevel="0" collapsed="false">
      <c r="C94" s="539" t="s">
        <v>359</v>
      </c>
      <c r="D94" s="536" t="n">
        <v>1.12949</v>
      </c>
      <c r="G94" s="540" t="e">
        <f aca="false">D94*E94/F94</f>
        <v>#DIV/0!</v>
      </c>
      <c r="H94" s="0" t="str">
        <f aca="false">VLOOKUP(C94,'11.Region'!$B$22:$E$243,4,FALSE())</f>
        <v>Americas</v>
      </c>
      <c r="I94" s="541" t="n">
        <f aca="false">$K$57</f>
        <v>1.96289944979353</v>
      </c>
      <c r="J94" s="0" t="s">
        <v>263</v>
      </c>
    </row>
    <row r="95" customFormat="false" ht="15" hidden="false" customHeight="false" outlineLevel="0" collapsed="false">
      <c r="C95" s="539" t="s">
        <v>421</v>
      </c>
      <c r="D95" s="536" t="n">
        <v>1.12949</v>
      </c>
      <c r="E95" s="538" t="n">
        <v>6.59736</v>
      </c>
      <c r="G95" s="540" t="e">
        <f aca="false">D95*E95/F95</f>
        <v>#DIV/0!</v>
      </c>
      <c r="H95" s="0" t="str">
        <f aca="false">VLOOKUP(C95,'11.Region'!$B$22:$E$243,4,FALSE())</f>
        <v>Americas</v>
      </c>
      <c r="I95" s="541" t="n">
        <f aca="false">$K$57</f>
        <v>1.96289944979353</v>
      </c>
      <c r="J95" s="0" t="s">
        <v>263</v>
      </c>
    </row>
    <row r="96" customFormat="false" ht="15" hidden="false" customHeight="false" outlineLevel="0" collapsed="false">
      <c r="C96" s="539" t="s">
        <v>503</v>
      </c>
      <c r="D96" s="536" t="n">
        <v>1.12949</v>
      </c>
      <c r="G96" s="540" t="e">
        <f aca="false">D96*E96/F96</f>
        <v>#DIV/0!</v>
      </c>
      <c r="H96" s="0" t="str">
        <f aca="false">VLOOKUP(C96,'11.Region'!$B$22:$E$243,4,FALSE())</f>
        <v>Americas</v>
      </c>
      <c r="I96" s="541" t="n">
        <f aca="false">$K$57</f>
        <v>1.96289944979353</v>
      </c>
      <c r="J96" s="0" t="s">
        <v>263</v>
      </c>
    </row>
    <row r="97" customFormat="false" ht="15" hidden="false" customHeight="false" outlineLevel="0" collapsed="false">
      <c r="C97" s="539" t="s">
        <v>579</v>
      </c>
      <c r="D97" s="536" t="n">
        <v>1.12949</v>
      </c>
      <c r="G97" s="540" t="e">
        <f aca="false">D97*E97/F97</f>
        <v>#DIV/0!</v>
      </c>
      <c r="H97" s="0" t="str">
        <f aca="false">VLOOKUP(C97,'11.Region'!$B$22:$E$243,4,FALSE())</f>
        <v>Americas</v>
      </c>
      <c r="I97" s="541" t="n">
        <f aca="false">$K$57</f>
        <v>1.96289944979353</v>
      </c>
      <c r="J97" s="0" t="s">
        <v>263</v>
      </c>
    </row>
    <row r="98" customFormat="false" ht="15" hidden="false" customHeight="false" outlineLevel="0" collapsed="false">
      <c r="C98" s="539" t="s">
        <v>633</v>
      </c>
      <c r="D98" s="536" t="n">
        <v>1.12949</v>
      </c>
      <c r="G98" s="540" t="e">
        <f aca="false">D98*E98/F98</f>
        <v>#DIV/0!</v>
      </c>
      <c r="H98" s="0" t="str">
        <f aca="false">VLOOKUP(C98,'11.Region'!$B$22:$E$243,4,FALSE())</f>
        <v>Americas</v>
      </c>
      <c r="I98" s="541" t="n">
        <f aca="false">$K$57</f>
        <v>1.96289944979353</v>
      </c>
      <c r="J98" s="0" t="s">
        <v>263</v>
      </c>
    </row>
    <row r="99" customFormat="false" ht="15" hidden="false" customHeight="false" outlineLevel="0" collapsed="false">
      <c r="C99" s="539" t="s">
        <v>639</v>
      </c>
      <c r="D99" s="536" t="n">
        <v>1.12949</v>
      </c>
      <c r="G99" s="540" t="e">
        <f aca="false">D99*E99/F99</f>
        <v>#DIV/0!</v>
      </c>
      <c r="H99" s="0" t="str">
        <f aca="false">VLOOKUP(C99,'11.Region'!$B$22:$E$243,4,FALSE())</f>
        <v>Americas</v>
      </c>
      <c r="I99" s="541" t="n">
        <f aca="false">$K$57</f>
        <v>1.96289944979353</v>
      </c>
      <c r="J99" s="0" t="s">
        <v>263</v>
      </c>
    </row>
    <row r="100" customFormat="false" ht="15" hidden="false" customHeight="false" outlineLevel="0" collapsed="false">
      <c r="C100" s="539" t="s">
        <v>677</v>
      </c>
      <c r="D100" s="536" t="n">
        <v>1.12949</v>
      </c>
      <c r="G100" s="540" t="e">
        <f aca="false">D100*E100/F100</f>
        <v>#DIV/0!</v>
      </c>
      <c r="H100" s="0" t="str">
        <f aca="false">VLOOKUP(C100,'11.Region'!$B$22:$E$243,4,FALSE())</f>
        <v>Americas</v>
      </c>
      <c r="I100" s="541" t="n">
        <f aca="false">$K$57</f>
        <v>1.96289944979353</v>
      </c>
      <c r="J100" s="0" t="s">
        <v>263</v>
      </c>
    </row>
    <row r="101" customFormat="false" ht="15" hidden="false" customHeight="false" outlineLevel="0" collapsed="false">
      <c r="C101" s="539" t="s">
        <v>679</v>
      </c>
      <c r="D101" s="536" t="n">
        <v>1.12949</v>
      </c>
      <c r="G101" s="540" t="e">
        <f aca="false">D101*E101/F101</f>
        <v>#DIV/0!</v>
      </c>
      <c r="H101" s="0" t="str">
        <f aca="false">VLOOKUP(C101,'11.Region'!$B$22:$E$243,4,FALSE())</f>
        <v>Americas</v>
      </c>
      <c r="I101" s="541" t="n">
        <f aca="false">$K$57</f>
        <v>1.96289944979353</v>
      </c>
      <c r="J101" s="0" t="s">
        <v>263</v>
      </c>
    </row>
    <row r="102" customFormat="false" ht="15" hidden="false" customHeight="false" outlineLevel="0" collapsed="false">
      <c r="C102" s="539" t="s">
        <v>681</v>
      </c>
      <c r="D102" s="536" t="n">
        <v>1.12949</v>
      </c>
      <c r="G102" s="540" t="e">
        <f aca="false">D102*E102/F102</f>
        <v>#DIV/0!</v>
      </c>
      <c r="H102" s="0" t="str">
        <f aca="false">VLOOKUP(C102,'11.Region'!$B$22:$E$243,4,FALSE())</f>
        <v>Americas</v>
      </c>
      <c r="I102" s="541" t="n">
        <f aca="false">$K$57</f>
        <v>1.96289944979353</v>
      </c>
      <c r="J102" s="0" t="s">
        <v>263</v>
      </c>
    </row>
    <row r="103" customFormat="false" ht="15" hidden="false" customHeight="false" outlineLevel="0" collapsed="false">
      <c r="C103" s="539" t="s">
        <v>587</v>
      </c>
      <c r="D103" s="536" t="n">
        <v>1.12949</v>
      </c>
      <c r="F103" s="536" t="n">
        <v>2.28021651476943</v>
      </c>
      <c r="G103" s="540" t="n">
        <f aca="false">D103*E103/F103</f>
        <v>0</v>
      </c>
      <c r="H103" s="0" t="str">
        <f aca="false">VLOOKUP(C103,'11.Region'!$B$22:$E$243,4,FALSE())</f>
        <v>Asia</v>
      </c>
      <c r="I103" s="541" t="n">
        <f aca="false">$K$103</f>
        <v>3.00272943672245</v>
      </c>
      <c r="J103" s="0" t="s">
        <v>263</v>
      </c>
      <c r="K103" s="542" t="n">
        <f aca="false">AVERAGE(G104:G149)</f>
        <v>3.00272943672245</v>
      </c>
      <c r="L103" s="543" t="s">
        <v>266</v>
      </c>
    </row>
    <row r="104" customFormat="false" ht="15" hidden="false" customHeight="false" outlineLevel="0" collapsed="false">
      <c r="C104" s="539" t="s">
        <v>453</v>
      </c>
      <c r="D104" s="536" t="n">
        <v>1.12949</v>
      </c>
      <c r="E104" s="536" t="n">
        <v>3.59563</v>
      </c>
      <c r="F104" s="536" t="n">
        <v>3.773624</v>
      </c>
      <c r="G104" s="540" t="n">
        <f aca="false">D104*E104/F104</f>
        <v>1.07621430452531</v>
      </c>
      <c r="H104" s="0" t="str">
        <f aca="false">VLOOKUP(C104,'11.Region'!$B$22:$E$243,4,FALSE())</f>
        <v>Asia</v>
      </c>
      <c r="I104" s="541" t="n">
        <f aca="false">G104</f>
        <v>1.07621430452531</v>
      </c>
    </row>
    <row r="105" customFormat="false" ht="15" hidden="false" customHeight="false" outlineLevel="0" collapsed="false">
      <c r="C105" s="539" t="s">
        <v>461</v>
      </c>
      <c r="D105" s="536" t="n">
        <v>1.12949</v>
      </c>
      <c r="E105" s="536" t="n">
        <v>112.14867</v>
      </c>
      <c r="F105" s="536" t="n">
        <v>98.239494</v>
      </c>
      <c r="G105" s="540" t="n">
        <f aca="false">D105*E105/F105</f>
        <v>1.28940812010188</v>
      </c>
      <c r="H105" s="0" t="str">
        <f aca="false">VLOOKUP(C105,'11.Region'!$B$22:$E$243,4,FALSE())</f>
        <v>Asia</v>
      </c>
      <c r="I105" s="541" t="n">
        <f aca="false">G105</f>
        <v>1.28940812010188</v>
      </c>
    </row>
    <row r="106" customFormat="false" ht="15" hidden="false" customHeight="false" outlineLevel="0" collapsed="false">
      <c r="C106" s="539" t="s">
        <v>475</v>
      </c>
      <c r="D106" s="536" t="n">
        <v>1.12949</v>
      </c>
      <c r="E106" s="536" t="n">
        <v>1128.64633</v>
      </c>
      <c r="F106" s="536" t="n">
        <v>878.77373</v>
      </c>
      <c r="G106" s="540" t="n">
        <f aca="false">D106*E106/F106</f>
        <v>1.45065185695947</v>
      </c>
      <c r="H106" s="0" t="str">
        <f aca="false">VLOOKUP(C106,'11.Region'!$B$22:$E$243,4,FALSE())</f>
        <v>Asia</v>
      </c>
      <c r="I106" s="541" t="n">
        <f aca="false">G106</f>
        <v>1.45065185695947</v>
      </c>
    </row>
    <row r="107" customFormat="false" ht="15" hidden="false" customHeight="false" outlineLevel="0" collapsed="false">
      <c r="C107" s="539" t="s">
        <v>429</v>
      </c>
      <c r="D107" s="536" t="n">
        <v>1.12949</v>
      </c>
      <c r="E107" s="536" t="n">
        <v>7.79206</v>
      </c>
      <c r="F107" s="536" t="n">
        <v>5.84977495286962</v>
      </c>
      <c r="G107" s="540" t="n">
        <f aca="false">D107*E107/F107</f>
        <v>1.50451152741912</v>
      </c>
      <c r="H107" s="0" t="str">
        <f aca="false">VLOOKUP(C107,'11.Region'!$B$22:$E$243,4,FALSE())</f>
        <v>Asia</v>
      </c>
      <c r="I107" s="541" t="n">
        <f aca="false">G107</f>
        <v>1.50451152741912</v>
      </c>
    </row>
    <row r="108" customFormat="false" ht="15" hidden="false" customHeight="false" outlineLevel="0" collapsed="false">
      <c r="C108" s="539" t="s">
        <v>361</v>
      </c>
      <c r="D108" s="536" t="n">
        <v>1.12949</v>
      </c>
      <c r="E108" s="536" t="n">
        <f aca="false">1/1.12949</f>
        <v>0.885355337364651</v>
      </c>
      <c r="F108" s="536" t="n">
        <v>0.648986049082789</v>
      </c>
      <c r="G108" s="540" t="n">
        <f aca="false">D108*E108/F108</f>
        <v>1.54086517177572</v>
      </c>
      <c r="H108" s="0" t="str">
        <f aca="false">VLOOKUP(C108,'11.Region'!$B$22:$E$243,4,FALSE())</f>
        <v>Asia</v>
      </c>
      <c r="I108" s="541" t="n">
        <f aca="false">G108</f>
        <v>1.54086517177572</v>
      </c>
    </row>
    <row r="109" customFormat="false" ht="15" hidden="false" customHeight="false" outlineLevel="0" collapsed="false">
      <c r="C109" s="539" t="s">
        <v>501</v>
      </c>
      <c r="D109" s="536" t="n">
        <v>1.12949</v>
      </c>
      <c r="E109" s="536" t="n">
        <v>7.85523</v>
      </c>
      <c r="F109" s="536" t="n">
        <v>5.63957978148747</v>
      </c>
      <c r="G109" s="540" t="n">
        <f aca="false">D109*E109/F109</f>
        <v>1.57323844620917</v>
      </c>
      <c r="H109" s="0" t="str">
        <f aca="false">VLOOKUP(C109,'11.Region'!$B$22:$E$243,4,FALSE())</f>
        <v>Asia</v>
      </c>
      <c r="I109" s="541" t="n">
        <f aca="false">G109</f>
        <v>1.57323844620917</v>
      </c>
    </row>
    <row r="110" customFormat="false" ht="15" hidden="false" customHeight="false" outlineLevel="0" collapsed="false">
      <c r="C110" s="539" t="s">
        <v>513</v>
      </c>
      <c r="D110" s="536" t="n">
        <v>1.12949</v>
      </c>
      <c r="E110" s="536" t="n">
        <v>15.22988</v>
      </c>
      <c r="F110" s="536" t="n">
        <v>9.71242807945734</v>
      </c>
      <c r="G110" s="540" t="n">
        <f aca="false">D110*E110/F110</f>
        <v>1.77113251397802</v>
      </c>
      <c r="H110" s="0" t="str">
        <f aca="false">VLOOKUP(C110,'11.Region'!$B$22:$E$243,4,FALSE())</f>
        <v>Asia</v>
      </c>
      <c r="I110" s="541" t="n">
        <f aca="false">G110</f>
        <v>1.77113251397802</v>
      </c>
    </row>
    <row r="111" customFormat="false" ht="15" hidden="false" customHeight="false" outlineLevel="0" collapsed="false">
      <c r="C111" s="539" t="s">
        <v>605</v>
      </c>
      <c r="D111" s="536" t="n">
        <v>1.12949</v>
      </c>
      <c r="E111" s="536" t="n">
        <v>1.38069</v>
      </c>
      <c r="F111" s="536" t="n">
        <v>0.848701477342586</v>
      </c>
      <c r="G111" s="540" t="n">
        <f aca="false">D111*E111/F111</f>
        <v>1.83748419171245</v>
      </c>
      <c r="H111" s="0" t="str">
        <f aca="false">VLOOKUP(C111,'11.Region'!$B$22:$E$243,4,FALSE())</f>
        <v>Asia</v>
      </c>
      <c r="I111" s="541" t="n">
        <f aca="false">G111</f>
        <v>1.83748419171245</v>
      </c>
    </row>
    <row r="112" customFormat="false" ht="15" hidden="false" customHeight="false" outlineLevel="0" collapsed="false">
      <c r="C112" s="539" t="s">
        <v>481</v>
      </c>
      <c r="D112" s="536" t="n">
        <v>1.12949</v>
      </c>
      <c r="E112" s="536" t="n">
        <v>1485.82845</v>
      </c>
      <c r="F112" s="536" t="n">
        <v>875.569899206042</v>
      </c>
      <c r="G112" s="540" t="n">
        <f aca="false">D112*E112/F112</f>
        <v>1.91672689697567</v>
      </c>
      <c r="H112" s="0" t="str">
        <f aca="false">VLOOKUP(C112,'11.Region'!$B$22:$E$243,4,FALSE())</f>
        <v>Asia</v>
      </c>
      <c r="I112" s="541" t="n">
        <f aca="false">G112</f>
        <v>1.91672689697567</v>
      </c>
    </row>
    <row r="113" customFormat="false" ht="15" hidden="false" customHeight="false" outlineLevel="0" collapsed="false">
      <c r="C113" s="539" t="s">
        <v>276</v>
      </c>
      <c r="D113" s="536" t="n">
        <v>1.12949</v>
      </c>
      <c r="E113" s="536" t="n">
        <v>3.67215</v>
      </c>
      <c r="F113" s="536" t="n">
        <v>2.02314055652801</v>
      </c>
      <c r="G113" s="540" t="n">
        <f aca="false">D113*E113/F113</f>
        <v>2.05010803135594</v>
      </c>
      <c r="H113" s="0" t="str">
        <f aca="false">VLOOKUP(C113,'11.Region'!$B$22:$E$243,4,FALSE())</f>
        <v>Asia</v>
      </c>
      <c r="I113" s="541" t="n">
        <f aca="false">G113</f>
        <v>2.05010803135594</v>
      </c>
    </row>
    <row r="114" customFormat="false" ht="15" hidden="false" customHeight="false" outlineLevel="0" collapsed="false">
      <c r="C114" s="539" t="s">
        <v>337</v>
      </c>
      <c r="D114" s="536" t="n">
        <v>1.12949</v>
      </c>
      <c r="E114" s="536" t="n">
        <v>6.75821</v>
      </c>
      <c r="F114" s="536" t="n">
        <v>3.54975926880731</v>
      </c>
      <c r="G114" s="540" t="n">
        <f aca="false">D114*E114/F114</f>
        <v>2.15037979616706</v>
      </c>
      <c r="H114" s="0" t="str">
        <f aca="false">VLOOKUP(C114,'11.Region'!$B$22:$E$243,4,FALSE())</f>
        <v>Asia</v>
      </c>
      <c r="I114" s="541" t="n">
        <f aca="false">G114</f>
        <v>2.15037979616706</v>
      </c>
    </row>
    <row r="115" customFormat="false" ht="15" hidden="false" customHeight="false" outlineLevel="0" collapsed="false">
      <c r="C115" s="539" t="s">
        <v>305</v>
      </c>
      <c r="D115" s="536" t="n">
        <v>1.12949</v>
      </c>
      <c r="E115" s="536" t="n">
        <v>0.37405</v>
      </c>
      <c r="F115" s="536" t="n">
        <v>0.18714228331906</v>
      </c>
      <c r="G115" s="540" t="n">
        <f aca="false">D115*E115/F115</f>
        <v>2.25756428214409</v>
      </c>
      <c r="H115" s="0" t="str">
        <f aca="false">VLOOKUP(C115,'11.Region'!$B$22:$E$243,4,FALSE())</f>
        <v>Asia</v>
      </c>
      <c r="I115" s="541" t="n">
        <f aca="false">G115</f>
        <v>2.25756428214409</v>
      </c>
    </row>
    <row r="116" customFormat="false" ht="15" hidden="false" customHeight="false" outlineLevel="0" collapsed="false">
      <c r="C116" s="539" t="s">
        <v>591</v>
      </c>
      <c r="D116" s="536" t="n">
        <v>1.12949</v>
      </c>
      <c r="E116" s="536" t="n">
        <v>3.62749</v>
      </c>
      <c r="F116" s="536" t="n">
        <v>1.80062463601717</v>
      </c>
      <c r="G116" s="540" t="n">
        <f aca="false">D116*E116/F116</f>
        <v>2.27544019899822</v>
      </c>
      <c r="H116" s="0" t="str">
        <f aca="false">VLOOKUP(C116,'11.Region'!$B$22:$E$243,4,FALSE())</f>
        <v>Asia</v>
      </c>
      <c r="I116" s="541" t="n">
        <f aca="false">G116</f>
        <v>2.27544019899822</v>
      </c>
    </row>
    <row r="117" customFormat="false" ht="15" hidden="false" customHeight="false" outlineLevel="0" collapsed="false">
      <c r="C117" s="539" t="s">
        <v>459</v>
      </c>
      <c r="D117" s="536" t="n">
        <v>1.12949</v>
      </c>
      <c r="E117" s="536" t="n">
        <v>0.70691</v>
      </c>
      <c r="F117" s="536" t="n">
        <v>0.320333310891471</v>
      </c>
      <c r="G117" s="540" t="n">
        <f aca="false">D117*E117/F117</f>
        <v>2.49255306504953</v>
      </c>
      <c r="H117" s="0" t="str">
        <f aca="false">VLOOKUP(C117,'11.Region'!$B$22:$E$243,4,FALSE())</f>
        <v>Asia</v>
      </c>
      <c r="I117" s="541" t="n">
        <f aca="false">G117</f>
        <v>2.49255306504953</v>
      </c>
    </row>
    <row r="118" customFormat="false" ht="15" hidden="false" customHeight="false" outlineLevel="0" collapsed="false">
      <c r="C118" s="539" t="s">
        <v>280</v>
      </c>
      <c r="D118" s="536" t="n">
        <v>1.12949</v>
      </c>
      <c r="E118" s="536" t="n">
        <v>466.05248</v>
      </c>
      <c r="F118" s="536" t="n">
        <v>196.97951259923</v>
      </c>
      <c r="G118" s="540" t="n">
        <f aca="false">D118*E118/F118</f>
        <v>2.67236733754238</v>
      </c>
      <c r="H118" s="0" t="str">
        <f aca="false">VLOOKUP(C118,'11.Region'!$B$22:$E$243,4,FALSE())</f>
        <v>Asia</v>
      </c>
      <c r="I118" s="541" t="n">
        <f aca="false">G118</f>
        <v>2.67236733754238</v>
      </c>
    </row>
    <row r="119" customFormat="false" ht="15" hidden="false" customHeight="false" outlineLevel="0" collapsed="false">
      <c r="C119" s="539" t="s">
        <v>649</v>
      </c>
      <c r="D119" s="536" t="n">
        <v>1.12949</v>
      </c>
      <c r="E119" s="536" t="n">
        <v>3.41141</v>
      </c>
      <c r="F119" s="536" t="n">
        <v>1.43087554470926</v>
      </c>
      <c r="G119" s="540" t="n">
        <f aca="false">D119*E119/F119</f>
        <v>2.69286416638208</v>
      </c>
      <c r="H119" s="0" t="str">
        <f aca="false">VLOOKUP(C119,'11.Region'!$B$22:$E$243,4,FALSE())</f>
        <v>Asia</v>
      </c>
      <c r="I119" s="541" t="n">
        <f aca="false">G119</f>
        <v>2.69286416638208</v>
      </c>
    </row>
    <row r="120" customFormat="false" ht="15" hidden="false" customHeight="false" outlineLevel="0" collapsed="false">
      <c r="C120" s="539" t="s">
        <v>477</v>
      </c>
      <c r="D120" s="536" t="n">
        <v>1.12949</v>
      </c>
      <c r="E120" s="536" t="n">
        <v>0.30281</v>
      </c>
      <c r="F120" s="536" t="n">
        <v>0.122429440333495</v>
      </c>
      <c r="G120" s="540" t="n">
        <f aca="false">D120*E120/F120</f>
        <v>2.79361619205596</v>
      </c>
      <c r="H120" s="0" t="str">
        <f aca="false">VLOOKUP(C120,'11.Region'!$B$22:$E$243,4,FALSE())</f>
        <v>Asia</v>
      </c>
      <c r="I120" s="541" t="n">
        <f aca="false">G120</f>
        <v>2.79361619205596</v>
      </c>
    </row>
    <row r="121" customFormat="false" ht="15" hidden="false" customHeight="false" outlineLevel="0" collapsed="false">
      <c r="C121" s="539" t="s">
        <v>301</v>
      </c>
      <c r="D121" s="536" t="n">
        <v>1.12949</v>
      </c>
      <c r="E121" s="536" t="n">
        <v>79.9389</v>
      </c>
      <c r="F121" s="536" t="n">
        <v>31.0137123469418</v>
      </c>
      <c r="G121" s="540" t="n">
        <f aca="false">D121*E121/F121</f>
        <v>2.91129894902451</v>
      </c>
      <c r="H121" s="0" t="str">
        <f aca="false">VLOOKUP(C121,'11.Region'!$B$22:$E$243,4,FALSE())</f>
        <v>Asia</v>
      </c>
      <c r="I121" s="541" t="n">
        <f aca="false">G121</f>
        <v>2.91129894902451</v>
      </c>
    </row>
    <row r="122" customFormat="false" ht="15" hidden="false" customHeight="false" outlineLevel="0" collapsed="false">
      <c r="C122" s="539" t="s">
        <v>599</v>
      </c>
      <c r="D122" s="536" t="n">
        <v>1.12949</v>
      </c>
      <c r="E122" s="536" t="n">
        <v>3.74786</v>
      </c>
      <c r="F122" s="536" t="n">
        <v>1.44588687728558</v>
      </c>
      <c r="G122" s="540" t="n">
        <f aca="false">D122*E122/F122</f>
        <v>2.92773276934852</v>
      </c>
      <c r="H122" s="0" t="str">
        <f aca="false">VLOOKUP(C122,'11.Region'!$B$22:$E$243,4,FALSE())</f>
        <v>Asia</v>
      </c>
      <c r="I122" s="541" t="n">
        <f aca="false">G122</f>
        <v>2.92773276934852</v>
      </c>
    </row>
    <row r="123" customFormat="false" ht="15" hidden="false" customHeight="false" outlineLevel="0" collapsed="false">
      <c r="C123" s="539" t="s">
        <v>403</v>
      </c>
      <c r="D123" s="536" t="n">
        <v>1.12949</v>
      </c>
      <c r="E123" s="536" t="n">
        <v>2.49198</v>
      </c>
      <c r="F123" s="536" t="n">
        <v>0.956602102936769</v>
      </c>
      <c r="G123" s="540" t="n">
        <f aca="false">D123*E123/F123</f>
        <v>2.94235866883313</v>
      </c>
      <c r="H123" s="0" t="str">
        <f aca="false">VLOOKUP(C123,'11.Region'!$B$22:$E$243,4,FALSE())</f>
        <v>Asia</v>
      </c>
      <c r="I123" s="541" t="n">
        <f aca="false">G123</f>
        <v>2.94235866883313</v>
      </c>
    </row>
    <row r="124" customFormat="false" ht="15" hidden="false" customHeight="false" outlineLevel="0" collapsed="false">
      <c r="C124" s="539" t="s">
        <v>659</v>
      </c>
      <c r="D124" s="536" t="n">
        <v>1.12949</v>
      </c>
      <c r="E124" s="536" t="n">
        <v>3.64328</v>
      </c>
      <c r="F124" s="536" t="n">
        <v>1.37744</v>
      </c>
      <c r="G124" s="540" t="n">
        <f aca="false">D124*E124/F124</f>
        <v>2.98746103438262</v>
      </c>
      <c r="H124" s="0" t="str">
        <f aca="false">VLOOKUP(C124,'11.Region'!$B$22:$E$243,4,FALSE())</f>
        <v>Asia</v>
      </c>
      <c r="I124" s="541" t="n">
        <f aca="false">G124</f>
        <v>2.98746103438262</v>
      </c>
    </row>
    <row r="125" customFormat="false" ht="15" hidden="false" customHeight="false" outlineLevel="0" collapsed="false">
      <c r="C125" s="539" t="s">
        <v>563</v>
      </c>
      <c r="D125" s="536" t="n">
        <v>1.12949</v>
      </c>
      <c r="E125" s="536" t="n">
        <v>0.38382</v>
      </c>
      <c r="F125" s="536" t="n">
        <v>0.144557583109135</v>
      </c>
      <c r="G125" s="540" t="n">
        <f aca="false">D125*E125/F125</f>
        <v>2.99894922477162</v>
      </c>
      <c r="H125" s="0" t="str">
        <f aca="false">VLOOKUP(C125,'11.Region'!$B$22:$E$243,4,FALSE())</f>
        <v>Asia</v>
      </c>
      <c r="I125" s="541" t="n">
        <f aca="false">G125</f>
        <v>2.99894922477162</v>
      </c>
    </row>
    <row r="126" customFormat="false" ht="15" hidden="false" customHeight="false" outlineLevel="0" collapsed="false">
      <c r="C126" s="539" t="s">
        <v>645</v>
      </c>
      <c r="D126" s="536" t="n">
        <v>1.12949</v>
      </c>
      <c r="E126" s="536" t="n">
        <v>33.86704</v>
      </c>
      <c r="F126" s="536" t="n">
        <v>12.5230239086361</v>
      </c>
      <c r="G126" s="540" t="n">
        <f aca="false">D126*E126/F126</f>
        <v>3.0545723851266</v>
      </c>
      <c r="H126" s="0" t="str">
        <f aca="false">VLOOKUP(C126,'11.Region'!$B$22:$E$243,4,FALSE())</f>
        <v>Asia</v>
      </c>
      <c r="I126" s="541" t="n">
        <f aca="false">G126</f>
        <v>3.0545723851266</v>
      </c>
    </row>
    <row r="127" customFormat="false" ht="15" hidden="false" customHeight="false" outlineLevel="0" collapsed="false">
      <c r="C127" s="539" t="s">
        <v>323</v>
      </c>
      <c r="D127" s="536" t="n">
        <v>1.12949</v>
      </c>
      <c r="E127" s="536" t="n">
        <v>1.36779</v>
      </c>
      <c r="F127" s="536" t="n">
        <v>0.495540201325653</v>
      </c>
      <c r="G127" s="540" t="n">
        <f aca="false">D127*E127/F127</f>
        <v>3.11761815281005</v>
      </c>
      <c r="H127" s="0" t="str">
        <f aca="false">VLOOKUP(C127,'11.Region'!$B$22:$E$243,4,FALSE())</f>
        <v>Asia</v>
      </c>
      <c r="I127" s="541" t="n">
        <f aca="false">G127</f>
        <v>3.11761815281005</v>
      </c>
    </row>
    <row r="128" customFormat="false" ht="15" hidden="false" customHeight="false" outlineLevel="0" collapsed="false">
      <c r="C128" s="539" t="s">
        <v>479</v>
      </c>
      <c r="D128" s="536" t="n">
        <v>1.12949</v>
      </c>
      <c r="E128" s="536" t="n">
        <v>8103.40882</v>
      </c>
      <c r="F128" s="536" t="n">
        <v>2922.07967169755</v>
      </c>
      <c r="G128" s="540" t="n">
        <f aca="false">D128*E128/F128</f>
        <v>3.13226203814786</v>
      </c>
      <c r="H128" s="0" t="str">
        <f aca="false">VLOOKUP(C128,'11.Region'!$B$22:$E$243,4,FALSE())</f>
        <v>Asia</v>
      </c>
      <c r="I128" s="541" t="n">
        <f aca="false">G128</f>
        <v>3.13226203814786</v>
      </c>
    </row>
    <row r="129" customFormat="false" ht="15" hidden="false" customHeight="false" outlineLevel="0" collapsed="false">
      <c r="C129" s="539" t="s">
        <v>571</v>
      </c>
      <c r="D129" s="536" t="n">
        <v>1.12949</v>
      </c>
      <c r="E129" s="536" t="n">
        <v>50.32458</v>
      </c>
      <c r="F129" s="536" t="n">
        <v>18.0579894621743</v>
      </c>
      <c r="G129" s="540" t="n">
        <f aca="false">D129*E129/F129</f>
        <v>3.14769869498838</v>
      </c>
      <c r="H129" s="0" t="str">
        <f aca="false">VLOOKUP(C129,'11.Region'!$B$22:$E$243,4,FALSE())</f>
        <v>Asia</v>
      </c>
      <c r="I129" s="541" t="n">
        <f aca="false">G129</f>
        <v>3.14769869498838</v>
      </c>
    </row>
    <row r="130" customFormat="false" ht="15" hidden="false" customHeight="false" outlineLevel="0" collapsed="false">
      <c r="C130" s="539" t="s">
        <v>469</v>
      </c>
      <c r="D130" s="536" t="n">
        <v>1.12949</v>
      </c>
      <c r="E130" s="536" t="n">
        <v>3982.28455</v>
      </c>
      <c r="F130" s="536" t="n">
        <v>1401.31376937768</v>
      </c>
      <c r="G130" s="540" t="n">
        <f aca="false">D130*E130/F130</f>
        <v>3.20980973331692</v>
      </c>
      <c r="H130" s="0" t="str">
        <f aca="false">VLOOKUP(C130,'11.Region'!$B$22:$E$243,4,FALSE())</f>
        <v>Asia</v>
      </c>
      <c r="I130" s="541" t="n">
        <f aca="false">G130</f>
        <v>3.20980973331692</v>
      </c>
    </row>
    <row r="131" customFormat="false" ht="15" hidden="false" customHeight="false" outlineLevel="0" collapsed="false">
      <c r="C131" s="539" t="s">
        <v>683</v>
      </c>
      <c r="D131" s="536" t="n">
        <v>1.12949</v>
      </c>
      <c r="E131" s="536" t="n">
        <v>22456.29963</v>
      </c>
      <c r="F131" s="536" t="n">
        <v>7735.71397952574</v>
      </c>
      <c r="G131" s="540" t="n">
        <f aca="false">D131*E131/F131</f>
        <v>3.27883966964401</v>
      </c>
      <c r="H131" s="0" t="str">
        <f aca="false">VLOOKUP(C131,'11.Region'!$B$22:$E$243,4,FALSE())</f>
        <v>Asia</v>
      </c>
      <c r="I131" s="541" t="n">
        <f aca="false">G131</f>
        <v>3.27883966964401</v>
      </c>
    </row>
    <row r="132" customFormat="false" ht="15" hidden="false" customHeight="false" outlineLevel="0" collapsed="false">
      <c r="C132" s="539" t="s">
        <v>325</v>
      </c>
      <c r="D132" s="536" t="n">
        <v>1.12949</v>
      </c>
      <c r="E132" s="536" t="n">
        <v>65.08933</v>
      </c>
      <c r="F132" s="536" t="n">
        <v>22.1211836656578</v>
      </c>
      <c r="G132" s="540" t="n">
        <f aca="false">D132*E132/F132</f>
        <v>3.32340929187407</v>
      </c>
      <c r="H132" s="0" t="str">
        <f aca="false">VLOOKUP(C132,'11.Region'!$B$22:$E$243,4,FALSE())</f>
        <v>Asia</v>
      </c>
      <c r="I132" s="541" t="n">
        <f aca="false">G132</f>
        <v>3.32340929187407</v>
      </c>
    </row>
    <row r="133" customFormat="false" ht="15" hidden="false" customHeight="false" outlineLevel="0" collapsed="false">
      <c r="C133" s="539" t="s">
        <v>541</v>
      </c>
      <c r="D133" s="536" t="n">
        <v>1.12949</v>
      </c>
      <c r="E133" s="536" t="n">
        <v>4.29819</v>
      </c>
      <c r="F133" s="536" t="n">
        <v>1.45310673411807</v>
      </c>
      <c r="G133" s="540" t="n">
        <f aca="false">D133*E133/F133</f>
        <v>3.34095390869308</v>
      </c>
      <c r="H133" s="0" t="str">
        <f aca="false">VLOOKUP(C133,'11.Region'!$B$22:$E$243,4,FALSE())</f>
        <v>Asia</v>
      </c>
      <c r="I133" s="541" t="n">
        <f aca="false">G133</f>
        <v>3.34095390869308</v>
      </c>
    </row>
    <row r="134" customFormat="false" ht="15" hidden="false" customHeight="false" outlineLevel="0" collapsed="false">
      <c r="C134" s="539" t="s">
        <v>463</v>
      </c>
      <c r="D134" s="536" t="n">
        <v>1.12949</v>
      </c>
      <c r="E134" s="536" t="n">
        <v>324.40776</v>
      </c>
      <c r="F134" s="536" t="n">
        <v>109.090116267495</v>
      </c>
      <c r="G134" s="540" t="n">
        <f aca="false">D134*E134/F134</f>
        <v>3.35883151819116</v>
      </c>
      <c r="H134" s="0" t="str">
        <f aca="false">VLOOKUP(C134,'11.Region'!$B$22:$E$243,4,FALSE())</f>
        <v>Asia</v>
      </c>
      <c r="I134" s="541" t="n">
        <f aca="false">G134</f>
        <v>3.35883151819116</v>
      </c>
    </row>
    <row r="135" customFormat="false" ht="15" hidden="false" customHeight="false" outlineLevel="0" collapsed="false">
      <c r="C135" s="539" t="s">
        <v>467</v>
      </c>
      <c r="D135" s="536" t="n">
        <v>1.12949</v>
      </c>
      <c r="E135" s="536" t="n">
        <v>68.86368</v>
      </c>
      <c r="F135" s="536" t="n">
        <v>22.5484718277065</v>
      </c>
      <c r="G135" s="540" t="n">
        <f aca="false">D135*E135/F135</f>
        <v>3.44949487120571</v>
      </c>
      <c r="H135" s="0" t="str">
        <f aca="false">VLOOKUP(C135,'11.Region'!$B$22:$E$243,4,FALSE())</f>
        <v>Asia</v>
      </c>
      <c r="I135" s="541" t="n">
        <f aca="false">G135</f>
        <v>3.44949487120571</v>
      </c>
    </row>
    <row r="136" customFormat="false" ht="15" hidden="false" customHeight="false" outlineLevel="0" collapsed="false">
      <c r="C136" s="539" t="s">
        <v>557</v>
      </c>
      <c r="D136" s="536" t="n">
        <v>1.12949</v>
      </c>
      <c r="E136" s="536" t="n">
        <v>102.71526</v>
      </c>
      <c r="F136" s="536" t="n">
        <v>33.0727378505397</v>
      </c>
      <c r="G136" s="540" t="n">
        <f aca="false">D136*E136/F136</f>
        <v>3.5079000577966</v>
      </c>
      <c r="H136" s="0" t="str">
        <f aca="false">VLOOKUP(C136,'11.Region'!$B$22:$E$243,4,FALSE())</f>
        <v>Asia</v>
      </c>
      <c r="I136" s="541" t="n">
        <f aca="false">G136</f>
        <v>3.5079000577966</v>
      </c>
    </row>
    <row r="137" customFormat="false" ht="15" hidden="false" customHeight="false" outlineLevel="0" collapsed="false">
      <c r="C137" s="539" t="s">
        <v>491</v>
      </c>
      <c r="D137" s="536" t="n">
        <v>1.12949</v>
      </c>
      <c r="E137" s="536" t="n">
        <v>150.55943</v>
      </c>
      <c r="F137" s="536" t="n">
        <v>48.3749334212568</v>
      </c>
      <c r="G137" s="540" t="n">
        <f aca="false">D137*E137/F137</f>
        <v>3.51536133620754</v>
      </c>
      <c r="H137" s="0" t="str">
        <f aca="false">VLOOKUP(C137,'11.Region'!$B$22:$E$243,4,FALSE())</f>
        <v>Asia</v>
      </c>
      <c r="I137" s="541" t="n">
        <f aca="false">G137</f>
        <v>3.51536133620754</v>
      </c>
    </row>
    <row r="138" customFormat="false" ht="15" hidden="false" customHeight="false" outlineLevel="0" collapsed="false">
      <c r="C138" s="539" t="s">
        <v>651</v>
      </c>
      <c r="D138" s="536" t="n">
        <v>1.12949</v>
      </c>
      <c r="E138" s="536" t="n">
        <v>1</v>
      </c>
      <c r="F138" s="536" t="n">
        <v>0.315991655157823</v>
      </c>
      <c r="G138" s="540" t="n">
        <f aca="false">D138*E138/F138</f>
        <v>3.57442983561029</v>
      </c>
      <c r="H138" s="0" t="str">
        <f aca="false">VLOOKUP(C138,'11.Region'!$B$22:$E$243,4,FALSE())</f>
        <v>Asia</v>
      </c>
      <c r="I138" s="541" t="n">
        <f aca="false">G138</f>
        <v>3.57442983561029</v>
      </c>
    </row>
    <row r="139" customFormat="false" ht="15" hidden="false" customHeight="false" outlineLevel="0" collapsed="false">
      <c r="C139" s="539" t="s">
        <v>439</v>
      </c>
      <c r="D139" s="536" t="n">
        <v>1.12949</v>
      </c>
      <c r="E139" s="536" t="n">
        <v>13337.40336</v>
      </c>
      <c r="F139" s="536" t="n">
        <v>4190.49247026961</v>
      </c>
      <c r="G139" s="540" t="n">
        <f aca="false">D139*E139/F139</f>
        <v>3.59491487646491</v>
      </c>
      <c r="H139" s="0" t="str">
        <f aca="false">VLOOKUP(C139,'11.Region'!$B$22:$E$243,4,FALSE())</f>
        <v>Asia</v>
      </c>
      <c r="I139" s="541" t="n">
        <f aca="false">G139</f>
        <v>3.59491487646491</v>
      </c>
    </row>
    <row r="140" customFormat="false" ht="15" hidden="false" customHeight="false" outlineLevel="0" collapsed="false">
      <c r="C140" s="539" t="s">
        <v>449</v>
      </c>
      <c r="D140" s="536" t="n">
        <v>1.12949</v>
      </c>
      <c r="E140" s="536" t="n">
        <v>1155.55961</v>
      </c>
      <c r="F140" s="536" t="n">
        <v>355.059131057793</v>
      </c>
      <c r="G140" s="540" t="n">
        <f aca="false">D140*E140/F140</f>
        <v>3.67598777141843</v>
      </c>
      <c r="H140" s="0" t="str">
        <f aca="false">VLOOKUP(C140,'11.Region'!$B$22:$E$243,4,FALSE())</f>
        <v>Asia</v>
      </c>
      <c r="I140" s="541" t="n">
        <f aca="false">G140</f>
        <v>3.67598777141843</v>
      </c>
    </row>
    <row r="141" customFormat="false" ht="15" hidden="false" customHeight="false" outlineLevel="0" collapsed="false">
      <c r="C141" s="539" t="s">
        <v>265</v>
      </c>
      <c r="D141" s="536" t="n">
        <v>1.12949</v>
      </c>
      <c r="E141" s="536" t="n">
        <v>67.55338</v>
      </c>
      <c r="F141" s="536" t="n">
        <v>20.2050508246696</v>
      </c>
      <c r="G141" s="540" t="n">
        <f aca="false">D141*E141/F141</f>
        <v>3.77632641651362</v>
      </c>
      <c r="H141" s="0" t="str">
        <f aca="false">VLOOKUP(C141,'11.Region'!$B$22:$E$243,4,FALSE())</f>
        <v>Asia</v>
      </c>
      <c r="I141" s="541" t="n">
        <f aca="false">G141</f>
        <v>3.77632641651362</v>
      </c>
    </row>
    <row r="142" customFormat="false" ht="15" hidden="false" customHeight="false" outlineLevel="0" collapsed="false">
      <c r="C142" s="539" t="s">
        <v>529</v>
      </c>
      <c r="D142" s="536" t="n">
        <v>1.12949</v>
      </c>
      <c r="E142" s="536" t="n">
        <v>2431.0015</v>
      </c>
      <c r="F142" s="536" t="n">
        <v>701.023002040352</v>
      </c>
      <c r="G142" s="540" t="n">
        <f aca="false">D142*E142/F142</f>
        <v>3.91683564767957</v>
      </c>
      <c r="H142" s="0" t="str">
        <f aca="false">VLOOKUP(C142,'11.Region'!$B$22:$E$243,4,FALSE())</f>
        <v>Asia</v>
      </c>
      <c r="I142" s="541" t="n">
        <f aca="false">G142</f>
        <v>3.91683564767957</v>
      </c>
    </row>
    <row r="143" customFormat="false" ht="15" hidden="false" customHeight="false" outlineLevel="0" collapsed="false">
      <c r="C143" s="539" t="s">
        <v>565</v>
      </c>
      <c r="D143" s="536" t="n">
        <v>1.12949</v>
      </c>
      <c r="E143" s="536" t="n">
        <v>104.36447</v>
      </c>
      <c r="F143" s="536" t="n">
        <v>29.3509185684774</v>
      </c>
      <c r="G143" s="540" t="n">
        <f aca="false">D143*E143/F143</f>
        <v>4.01618180859595</v>
      </c>
      <c r="H143" s="0" t="str">
        <f aca="false">VLOOKUP(C143,'11.Region'!$B$22:$E$243,4,FALSE())</f>
        <v>Asia</v>
      </c>
      <c r="I143" s="541" t="n">
        <f aca="false">G143</f>
        <v>4.01618180859595</v>
      </c>
    </row>
    <row r="144" customFormat="false" ht="15" hidden="false" customHeight="false" outlineLevel="0" collapsed="false">
      <c r="C144" s="539" t="s">
        <v>443</v>
      </c>
      <c r="D144" s="536" t="n">
        <v>1.12949</v>
      </c>
      <c r="E144" s="536" t="n">
        <v>65.04837</v>
      </c>
      <c r="F144" s="536" t="n">
        <v>17.7291702330434</v>
      </c>
      <c r="G144" s="540" t="n">
        <f aca="false">D144*E144/F144</f>
        <v>4.14410163958857</v>
      </c>
      <c r="H144" s="0" t="str">
        <f aca="false">VLOOKUP(C144,'11.Region'!$B$22:$E$243,4,FALSE())</f>
        <v>Asia</v>
      </c>
      <c r="I144" s="541" t="n">
        <f aca="false">G144</f>
        <v>4.14410163958857</v>
      </c>
    </row>
    <row r="145" customFormat="false" ht="15" hidden="false" customHeight="false" outlineLevel="0" collapsed="false">
      <c r="C145" s="539" t="s">
        <v>447</v>
      </c>
      <c r="D145" s="536" t="n">
        <v>1.12949</v>
      </c>
      <c r="E145" s="536" t="n">
        <v>32929.17725</v>
      </c>
      <c r="F145" s="536" t="n">
        <v>8720.1654729432</v>
      </c>
      <c r="G145" s="540" t="n">
        <f aca="false">D145*E145/F145</f>
        <v>4.2651915869607</v>
      </c>
      <c r="H145" s="0" t="str">
        <f aca="false">VLOOKUP(C145,'11.Region'!$B$22:$E$243,4,FALSE())</f>
        <v>Asia</v>
      </c>
      <c r="I145" s="541" t="n">
        <f aca="false">G145</f>
        <v>4.2651915869607</v>
      </c>
    </row>
    <row r="146" customFormat="false" ht="15" hidden="false" customHeight="false" outlineLevel="0" collapsed="false">
      <c r="C146" s="539" t="s">
        <v>647</v>
      </c>
      <c r="D146" s="536" t="n">
        <v>1.12949</v>
      </c>
      <c r="E146" s="536" t="n">
        <v>8.49174</v>
      </c>
      <c r="F146" s="536" t="n">
        <v>2.15320399243974</v>
      </c>
      <c r="G146" s="540" t="n">
        <f aca="false">D146*E146/F146</f>
        <v>4.45444809050921</v>
      </c>
      <c r="H146" s="0" t="str">
        <f aca="false">VLOOKUP(C146,'11.Region'!$B$22:$E$243,4,FALSE())</f>
        <v>Asia</v>
      </c>
      <c r="I146" s="541" t="n">
        <f aca="false">G146</f>
        <v>4.45444809050921</v>
      </c>
    </row>
    <row r="147" customFormat="false" ht="15" hidden="false" customHeight="false" outlineLevel="0" collapsed="false">
      <c r="C147" s="539" t="s">
        <v>291</v>
      </c>
      <c r="D147" s="536" t="n">
        <v>1.12949</v>
      </c>
      <c r="E147" s="536" t="n">
        <v>1.71207</v>
      </c>
      <c r="F147" s="536" t="n">
        <v>0.408740923102119</v>
      </c>
      <c r="G147" s="540" t="n">
        <f aca="false">D147*E147/F147</f>
        <v>4.73103091714864</v>
      </c>
      <c r="H147" s="0" t="str">
        <f aca="false">VLOOKUP(C147,'11.Region'!$B$22:$E$243,4,FALSE())</f>
        <v>Asia</v>
      </c>
      <c r="I147" s="541" t="n">
        <f aca="false">G147</f>
        <v>4.73103091714864</v>
      </c>
    </row>
    <row r="148" customFormat="false" ht="15" hidden="false" customHeight="false" outlineLevel="0" collapsed="false">
      <c r="C148" s="539" t="s">
        <v>673</v>
      </c>
      <c r="D148" s="536" t="n">
        <v>1.12949</v>
      </c>
      <c r="E148" s="536" t="n">
        <v>5070.34508</v>
      </c>
      <c r="F148" s="536" t="n">
        <v>1120.52942618577</v>
      </c>
      <c r="G148" s="540" t="n">
        <f aca="false">D148*E148/F148</f>
        <v>5.11089127208673</v>
      </c>
      <c r="H148" s="0" t="str">
        <f aca="false">VLOOKUP(C148,'11.Region'!$B$22:$E$243,4,FALSE())</f>
        <v>Asia</v>
      </c>
      <c r="I148" s="541" t="n">
        <f aca="false">G148</f>
        <v>5.11089127208673</v>
      </c>
    </row>
    <row r="149" customFormat="false" ht="15" hidden="false" customHeight="false" outlineLevel="0" collapsed="false">
      <c r="C149" s="539" t="s">
        <v>525</v>
      </c>
      <c r="D149" s="536" t="n">
        <v>1.12949</v>
      </c>
      <c r="E149" s="536" t="n">
        <v>1342.909</v>
      </c>
      <c r="F149" s="536" t="n">
        <v>285.352660001551</v>
      </c>
      <c r="G149" s="540" t="n">
        <f aca="false">D149*E149/F149</f>
        <v>5.31553582294189</v>
      </c>
      <c r="H149" s="0" t="str">
        <f aca="false">VLOOKUP(C149,'11.Region'!$B$22:$E$243,4,FALSE())</f>
        <v>Asia</v>
      </c>
      <c r="I149" s="541" t="n">
        <f aca="false">G149</f>
        <v>5.31553582294189</v>
      </c>
    </row>
    <row r="150" customFormat="false" ht="15" hidden="false" customHeight="false" outlineLevel="0" collapsed="false">
      <c r="C150" s="539" t="s">
        <v>581</v>
      </c>
      <c r="D150" s="536" t="n">
        <v>1.12949</v>
      </c>
      <c r="G150" s="540" t="e">
        <f aca="false">D150*E150/F150</f>
        <v>#DIV/0!</v>
      </c>
      <c r="H150" s="0" t="str">
        <f aca="false">VLOOKUP(C150,'11.Region'!$B$22:$E$243,4,FALSE())</f>
        <v>Asia</v>
      </c>
      <c r="I150" s="541" t="n">
        <f aca="false">$K$103</f>
        <v>3.00272943672245</v>
      </c>
      <c r="J150" s="0" t="s">
        <v>263</v>
      </c>
    </row>
    <row r="151" customFormat="false" ht="15" hidden="false" customHeight="false" outlineLevel="0" collapsed="false">
      <c r="C151" s="539" t="s">
        <v>637</v>
      </c>
      <c r="D151" s="536" t="n">
        <v>1.12949</v>
      </c>
      <c r="G151" s="540" t="e">
        <f aca="false">D151*E151/F151</f>
        <v>#DIV/0!</v>
      </c>
      <c r="H151" s="0" t="str">
        <f aca="false">VLOOKUP(C151,'11.Region'!$B$22:$E$243,4,FALSE())</f>
        <v>Asia</v>
      </c>
      <c r="I151" s="541" t="n">
        <f aca="false">$K$103</f>
        <v>3.00272943672245</v>
      </c>
      <c r="J151" s="0" t="s">
        <v>263</v>
      </c>
    </row>
    <row r="152" customFormat="false" ht="15" hidden="false" customHeight="false" outlineLevel="0" collapsed="false">
      <c r="C152" s="539" t="s">
        <v>691</v>
      </c>
      <c r="D152" s="536" t="n">
        <v>1.12949</v>
      </c>
      <c r="F152" s="536" t="n">
        <v>0</v>
      </c>
      <c r="G152" s="540" t="e">
        <f aca="false">D152*E152/F152</f>
        <v>#DIV/0!</v>
      </c>
      <c r="H152" s="0" t="str">
        <f aca="false">VLOOKUP(C152,'11.Region'!$B$22:$E$243,4,FALSE())</f>
        <v>Asia</v>
      </c>
      <c r="I152" s="541" t="n">
        <f aca="false">$K$103</f>
        <v>3.00272943672245</v>
      </c>
      <c r="J152" s="0" t="s">
        <v>263</v>
      </c>
    </row>
    <row r="153" customFormat="false" ht="15" hidden="false" customHeight="false" outlineLevel="0" collapsed="false">
      <c r="C153" s="539" t="s">
        <v>555</v>
      </c>
      <c r="D153" s="536" t="n">
        <v>1.12949</v>
      </c>
      <c r="E153" s="536" t="n">
        <v>8.26494</v>
      </c>
      <c r="F153" s="536" t="n">
        <v>10.242149</v>
      </c>
      <c r="G153" s="540" t="n">
        <f aca="false">D153*E153/F153</f>
        <v>0.91144613113908</v>
      </c>
      <c r="H153" s="0" t="str">
        <f aca="false">VLOOKUP(C153,'11.Region'!$B$22:$E$243,4,FALSE())</f>
        <v>Europe</v>
      </c>
      <c r="I153" s="541" t="n">
        <f aca="false">G153</f>
        <v>0.91144613113908</v>
      </c>
      <c r="K153" s="542" t="n">
        <f aca="false">AVERAGE(G153:G193)</f>
        <v>1.93286164519776</v>
      </c>
      <c r="L153" s="543" t="s">
        <v>272</v>
      </c>
    </row>
    <row r="154" customFormat="false" ht="15" hidden="false" customHeight="false" outlineLevel="0" collapsed="false">
      <c r="C154" s="539" t="s">
        <v>577</v>
      </c>
      <c r="D154" s="536" t="n">
        <v>1.12949</v>
      </c>
      <c r="E154" s="536" t="n">
        <v>3.77408</v>
      </c>
      <c r="F154" s="536" t="n">
        <v>1.782042</v>
      </c>
      <c r="G154" s="540" t="n">
        <f aca="false">D154*E154/F154</f>
        <v>2.39207920980538</v>
      </c>
      <c r="H154" s="0" t="str">
        <f aca="false">VLOOKUP(C154,'11.Region'!$B$22:$E$243,4,FALSE())</f>
        <v>Europe</v>
      </c>
      <c r="I154" s="541" t="n">
        <f aca="false">G154</f>
        <v>2.39207920980538</v>
      </c>
    </row>
    <row r="155" customFormat="false" ht="15" hidden="false" customHeight="false" outlineLevel="0" collapsed="false">
      <c r="C155" s="539" t="s">
        <v>523</v>
      </c>
      <c r="D155" s="536" t="n">
        <v>1.12949</v>
      </c>
      <c r="E155" s="536" t="n">
        <v>0.38078</v>
      </c>
      <c r="F155" s="536" t="n">
        <v>0.604828995795813</v>
      </c>
      <c r="G155" s="540" t="n">
        <f aca="false">D155*E155/F155</f>
        <v>0.711088927927647</v>
      </c>
      <c r="H155" s="0" t="str">
        <f aca="false">VLOOKUP(C155,'11.Region'!$B$22:$E$243,4,FALSE())</f>
        <v>Europe</v>
      </c>
      <c r="I155" s="541" t="n">
        <f aca="false">G155</f>
        <v>0.711088927927647</v>
      </c>
    </row>
    <row r="156" customFormat="false" ht="15" hidden="false" customHeight="false" outlineLevel="0" collapsed="false">
      <c r="C156" s="539" t="s">
        <v>451</v>
      </c>
      <c r="D156" s="536" t="n">
        <v>1.12949</v>
      </c>
      <c r="E156" s="536" t="n">
        <v>106.39519</v>
      </c>
      <c r="F156" s="536" t="n">
        <v>139.862226</v>
      </c>
      <c r="G156" s="540" t="n">
        <f aca="false">D156*E156/F156</f>
        <v>0.859219151517723</v>
      </c>
      <c r="H156" s="0" t="str">
        <f aca="false">VLOOKUP(C156,'11.Region'!$B$22:$E$243,4,FALSE())</f>
        <v>Europe</v>
      </c>
      <c r="I156" s="541" t="n">
        <f aca="false">G156</f>
        <v>0.859219151517723</v>
      </c>
    </row>
    <row r="157" customFormat="false" ht="15" hidden="false" customHeight="false" outlineLevel="0" collapsed="false">
      <c r="C157" s="539" t="s">
        <v>333</v>
      </c>
      <c r="D157" s="536" t="n">
        <v>1.12949</v>
      </c>
      <c r="E157" s="536" t="n">
        <v>0.98443</v>
      </c>
      <c r="F157" s="536" t="n">
        <v>1.21468</v>
      </c>
      <c r="G157" s="540" t="n">
        <f aca="false">D157*E157/F157</f>
        <v>0.915388283910166</v>
      </c>
      <c r="H157" s="0" t="str">
        <f aca="false">VLOOKUP(C157,'11.Region'!$B$22:$E$243,4,FALSE())</f>
        <v>Europe</v>
      </c>
      <c r="I157" s="541" t="n">
        <f aca="false">G157</f>
        <v>0.915388283910166</v>
      </c>
    </row>
    <row r="158" customFormat="false" ht="15" hidden="false" customHeight="false" outlineLevel="0" collapsed="false">
      <c r="C158" s="539" t="s">
        <v>371</v>
      </c>
      <c r="D158" s="536" t="n">
        <v>1.12949</v>
      </c>
      <c r="E158" s="538" t="n">
        <v>6.59736</v>
      </c>
      <c r="F158" s="536" t="n">
        <v>7.356282</v>
      </c>
      <c r="G158" s="540" t="n">
        <f aca="false">D158*E158/F158</f>
        <v>1.01296444948685</v>
      </c>
      <c r="H158" s="0" t="str">
        <f aca="false">VLOOKUP(C158,'11.Region'!$B$22:$E$243,4,FALSE())</f>
        <v>Europe</v>
      </c>
      <c r="I158" s="541" t="n">
        <f aca="false">G158</f>
        <v>1.01296444948685</v>
      </c>
    </row>
    <row r="159" customFormat="false" ht="15" hidden="false" customHeight="false" outlineLevel="0" collapsed="false">
      <c r="C159" s="539" t="s">
        <v>629</v>
      </c>
      <c r="D159" s="536" t="n">
        <v>1.12949</v>
      </c>
      <c r="E159" s="536" t="n">
        <v>8.54095</v>
      </c>
      <c r="F159" s="536" t="n">
        <v>9.124655</v>
      </c>
      <c r="G159" s="540" t="n">
        <f aca="false">D159*E159/F159</f>
        <v>1.05723642324011</v>
      </c>
      <c r="H159" s="0" t="str">
        <f aca="false">VLOOKUP(C159,'11.Region'!$B$22:$E$243,4,FALSE())</f>
        <v>Europe</v>
      </c>
      <c r="I159" s="541" t="n">
        <f aca="false">G159</f>
        <v>1.05723642324011</v>
      </c>
    </row>
    <row r="160" customFormat="false" ht="15" hidden="false" customHeight="false" outlineLevel="0" collapsed="false">
      <c r="C160" s="539" t="s">
        <v>389</v>
      </c>
      <c r="D160" s="536" t="n">
        <v>1.12949</v>
      </c>
      <c r="E160" s="536" t="n">
        <f aca="false">1/1.12949</f>
        <v>0.885355337364651</v>
      </c>
      <c r="F160" s="536" t="n">
        <v>0.897446</v>
      </c>
      <c r="G160" s="540" t="n">
        <f aca="false">D160*E160/F160</f>
        <v>1.11427317075345</v>
      </c>
      <c r="H160" s="0" t="str">
        <f aca="false">VLOOKUP(C160,'11.Region'!$B$22:$E$243,4,FALSE())</f>
        <v>Europe</v>
      </c>
      <c r="I160" s="541" t="n">
        <f aca="false">G160</f>
        <v>1.11427317075345</v>
      </c>
    </row>
    <row r="161" customFormat="false" ht="15" hidden="false" customHeight="false" outlineLevel="0" collapsed="false">
      <c r="C161" s="539" t="s">
        <v>497</v>
      </c>
      <c r="D161" s="536" t="n">
        <v>1.12949</v>
      </c>
      <c r="E161" s="536" t="n">
        <f aca="false">1/1.12949</f>
        <v>0.885355337364651</v>
      </c>
      <c r="F161" s="536" t="n">
        <v>0.891175</v>
      </c>
      <c r="G161" s="540" t="n">
        <f aca="false">D161*E161/F161</f>
        <v>1.12211406289449</v>
      </c>
      <c r="H161" s="0" t="str">
        <f aca="false">VLOOKUP(C161,'11.Region'!$B$22:$E$243,4,FALSE())</f>
        <v>Europe</v>
      </c>
      <c r="I161" s="541" t="n">
        <f aca="false">G161</f>
        <v>1.12211406289449</v>
      </c>
    </row>
    <row r="162" customFormat="false" ht="15" hidden="false" customHeight="false" outlineLevel="0" collapsed="false">
      <c r="C162" s="539" t="s">
        <v>295</v>
      </c>
      <c r="D162" s="536" t="n">
        <v>1.12949</v>
      </c>
      <c r="E162" s="536" t="n">
        <f aca="false">1/1.12949</f>
        <v>0.885355337364651</v>
      </c>
      <c r="F162" s="536" t="n">
        <v>0.808339</v>
      </c>
      <c r="G162" s="540" t="n">
        <f aca="false">D162*E162/F162</f>
        <v>1.23710472957509</v>
      </c>
      <c r="H162" s="0" t="str">
        <f aca="false">VLOOKUP(C162,'11.Region'!$B$22:$E$243,4,FALSE())</f>
        <v>Europe</v>
      </c>
      <c r="I162" s="541" t="n">
        <f aca="false">G162</f>
        <v>1.23710472957509</v>
      </c>
    </row>
    <row r="163" customFormat="false" ht="15" hidden="false" customHeight="false" outlineLevel="0" collapsed="false">
      <c r="C163" s="539" t="s">
        <v>553</v>
      </c>
      <c r="D163" s="536" t="n">
        <v>1.12949</v>
      </c>
      <c r="E163" s="536" t="n">
        <f aca="false">1/1.12949</f>
        <v>0.885355337364651</v>
      </c>
      <c r="F163" s="536" t="n">
        <v>0.808315</v>
      </c>
      <c r="G163" s="540" t="n">
        <f aca="false">D163*E163/F163</f>
        <v>1.23714146094035</v>
      </c>
      <c r="H163" s="0" t="str">
        <f aca="false">VLOOKUP(C163,'11.Region'!$B$22:$E$243,4,FALSE())</f>
        <v>Europe</v>
      </c>
      <c r="I163" s="541" t="n">
        <f aca="false">G163</f>
        <v>1.23714146094035</v>
      </c>
    </row>
    <row r="164" customFormat="false" ht="15" hidden="false" customHeight="false" outlineLevel="0" collapsed="false">
      <c r="C164" s="539" t="s">
        <v>445</v>
      </c>
      <c r="D164" s="536" t="n">
        <v>1.12949</v>
      </c>
      <c r="E164" s="536" t="n">
        <f aca="false">1/1.12949</f>
        <v>0.885355337364651</v>
      </c>
      <c r="F164" s="536" t="n">
        <v>0.806292</v>
      </c>
      <c r="G164" s="540" t="n">
        <f aca="false">D164*E164/F164</f>
        <v>1.2402454693833</v>
      </c>
      <c r="H164" s="0" t="str">
        <f aca="false">VLOOKUP(C164,'11.Region'!$B$22:$E$243,4,FALSE())</f>
        <v>Europe</v>
      </c>
      <c r="I164" s="541" t="n">
        <f aca="false">G164</f>
        <v>1.2402454693833</v>
      </c>
    </row>
    <row r="165" customFormat="false" ht="15" hidden="false" customHeight="false" outlineLevel="0" collapsed="false">
      <c r="C165" s="539" t="s">
        <v>401</v>
      </c>
      <c r="D165" s="536" t="n">
        <v>1.12949</v>
      </c>
      <c r="E165" s="536" t="n">
        <v>0.77667</v>
      </c>
      <c r="F165" s="536" t="n">
        <v>0.703402</v>
      </c>
      <c r="G165" s="540" t="n">
        <f aca="false">D165*E165/F165</f>
        <v>1.2471403241674</v>
      </c>
      <c r="H165" s="0" t="str">
        <f aca="false">VLOOKUP(C165,'11.Region'!$B$22:$E$243,4,FALSE())</f>
        <v>Europe</v>
      </c>
      <c r="I165" s="541" t="n">
        <f aca="false">G165</f>
        <v>1.2471403241674</v>
      </c>
    </row>
    <row r="166" customFormat="false" ht="15" hidden="false" customHeight="false" outlineLevel="0" collapsed="false">
      <c r="C166" s="539" t="s">
        <v>289</v>
      </c>
      <c r="D166" s="536" t="n">
        <v>1.12949</v>
      </c>
      <c r="E166" s="536" t="n">
        <f aca="false">1/1.12949</f>
        <v>0.885355337364651</v>
      </c>
      <c r="F166" s="536" t="n">
        <v>0.798475</v>
      </c>
      <c r="G166" s="540" t="n">
        <f aca="false">D166*E166/F166</f>
        <v>1.2523873634115</v>
      </c>
      <c r="H166" s="0" t="str">
        <f aca="false">VLOOKUP(C166,'11.Region'!$B$22:$E$243,4,FALSE())</f>
        <v>Europe</v>
      </c>
      <c r="I166" s="541" t="n">
        <f aca="false">G166</f>
        <v>1.2523873634115</v>
      </c>
    </row>
    <row r="167" customFormat="false" ht="15" hidden="false" customHeight="false" outlineLevel="0" collapsed="false">
      <c r="C167" s="539" t="s">
        <v>393</v>
      </c>
      <c r="D167" s="536" t="n">
        <v>1.12949</v>
      </c>
      <c r="E167" s="536" t="n">
        <f aca="false">1/1.12949</f>
        <v>0.885355337364651</v>
      </c>
      <c r="F167" s="536" t="n">
        <v>0.798152</v>
      </c>
      <c r="G167" s="540" t="n">
        <f aca="false">D167*E167/F167</f>
        <v>1.25289418556866</v>
      </c>
      <c r="H167" s="0" t="str">
        <f aca="false">VLOOKUP(C167,'11.Region'!$B$22:$E$243,4,FALSE())</f>
        <v>Europe</v>
      </c>
      <c r="I167" s="541" t="n">
        <f aca="false">G167</f>
        <v>1.25289418556866</v>
      </c>
    </row>
    <row r="168" customFormat="false" ht="15" hidden="false" customHeight="false" outlineLevel="0" collapsed="false">
      <c r="C168" s="539" t="s">
        <v>365</v>
      </c>
      <c r="D168" s="536" t="n">
        <v>1.12949</v>
      </c>
      <c r="E168" s="536" t="n">
        <f aca="false">1/1.12949</f>
        <v>0.885355337364651</v>
      </c>
      <c r="F168" s="536" t="n">
        <v>0.778114</v>
      </c>
      <c r="G168" s="540" t="n">
        <f aca="false">D168*E168/F168</f>
        <v>1.28515872995474</v>
      </c>
      <c r="H168" s="0" t="str">
        <f aca="false">VLOOKUP(C168,'11.Region'!$B$22:$E$243,4,FALSE())</f>
        <v>Europe</v>
      </c>
      <c r="I168" s="541" t="n">
        <f aca="false">G168</f>
        <v>1.28515872995474</v>
      </c>
    </row>
    <row r="169" customFormat="false" ht="15" hidden="false" customHeight="false" outlineLevel="0" collapsed="false">
      <c r="C169" s="539" t="s">
        <v>455</v>
      </c>
      <c r="D169" s="536" t="n">
        <v>1.12949</v>
      </c>
      <c r="E169" s="536" t="n">
        <f aca="false">1/1.12949</f>
        <v>0.885355337364651</v>
      </c>
      <c r="F169" s="536" t="n">
        <v>0.71213</v>
      </c>
      <c r="G169" s="540" t="n">
        <f aca="false">D169*E169/F169</f>
        <v>1.40423799025459</v>
      </c>
      <c r="H169" s="0" t="str">
        <f aca="false">VLOOKUP(C169,'11.Region'!$B$22:$E$243,4,FALSE())</f>
        <v>Europe</v>
      </c>
      <c r="I169" s="541" t="n">
        <f aca="false">G169</f>
        <v>1.40423799025459</v>
      </c>
    </row>
    <row r="170" customFormat="false" ht="15" hidden="false" customHeight="false" outlineLevel="0" collapsed="false">
      <c r="C170" s="539" t="s">
        <v>613</v>
      </c>
      <c r="D170" s="536" t="n">
        <v>1.12949</v>
      </c>
      <c r="E170" s="536" t="n">
        <f aca="false">1/1.12949</f>
        <v>0.885355337364651</v>
      </c>
      <c r="F170" s="536" t="n">
        <v>0.705989738864538</v>
      </c>
      <c r="G170" s="540" t="n">
        <f aca="false">D170*E170/F170</f>
        <v>1.41645118186608</v>
      </c>
      <c r="H170" s="0" t="str">
        <f aca="false">VLOOKUP(C170,'11.Region'!$B$22:$E$243,4,FALSE())</f>
        <v>Europe</v>
      </c>
      <c r="I170" s="541" t="n">
        <f aca="false">G170</f>
        <v>1.41645118186608</v>
      </c>
    </row>
    <row r="171" customFormat="false" ht="15" hidden="false" customHeight="false" outlineLevel="0" collapsed="false">
      <c r="C171" s="539" t="s">
        <v>383</v>
      </c>
      <c r="D171" s="536" t="n">
        <v>1.12949</v>
      </c>
      <c r="E171" s="536" t="n">
        <f aca="false">1/1.12949</f>
        <v>0.885355337364651</v>
      </c>
      <c r="F171" s="536" t="n">
        <v>0.655964</v>
      </c>
      <c r="G171" s="540" t="n">
        <f aca="false">D171*E171/F171</f>
        <v>1.52447390405571</v>
      </c>
      <c r="H171" s="0" t="str">
        <f aca="false">VLOOKUP(C171,'11.Region'!$B$22:$E$243,4,FALSE())</f>
        <v>Europe</v>
      </c>
      <c r="I171" s="541" t="n">
        <f aca="false">G171</f>
        <v>1.52447390405571</v>
      </c>
    </row>
    <row r="172" customFormat="false" ht="15" hidden="false" customHeight="false" outlineLevel="0" collapsed="false">
      <c r="C172" s="539" t="s">
        <v>627</v>
      </c>
      <c r="D172" s="536" t="n">
        <v>1.12949</v>
      </c>
      <c r="E172" s="536" t="n">
        <f aca="false">1/1.12949</f>
        <v>0.885355337364651</v>
      </c>
      <c r="F172" s="536" t="n">
        <v>0.601701</v>
      </c>
      <c r="G172" s="540" t="n">
        <f aca="false">D172*E172/F172</f>
        <v>1.66195502417314</v>
      </c>
      <c r="H172" s="0" t="str">
        <f aca="false">VLOOKUP(C172,'11.Region'!$B$22:$E$243,4,FALSE())</f>
        <v>Europe</v>
      </c>
      <c r="I172" s="541" t="n">
        <f aca="false">G172</f>
        <v>1.66195502417314</v>
      </c>
    </row>
    <row r="173" customFormat="false" ht="15" hidden="false" customHeight="false" outlineLevel="0" collapsed="false">
      <c r="C173" s="539" t="s">
        <v>417</v>
      </c>
      <c r="D173" s="536" t="n">
        <v>1.12949</v>
      </c>
      <c r="E173" s="536" t="n">
        <f aca="false">1/1.12949</f>
        <v>0.885355337364651</v>
      </c>
      <c r="F173" s="536" t="n">
        <v>0.593954</v>
      </c>
      <c r="G173" s="540" t="n">
        <f aca="false">D173*E173/F173</f>
        <v>1.68363206578287</v>
      </c>
      <c r="H173" s="0" t="str">
        <f aca="false">VLOOKUP(C173,'11.Region'!$B$22:$E$243,4,FALSE())</f>
        <v>Europe</v>
      </c>
      <c r="I173" s="541" t="n">
        <f aca="false">G173</f>
        <v>1.68363206578287</v>
      </c>
    </row>
    <row r="174" customFormat="false" ht="15" hidden="false" customHeight="false" outlineLevel="0" collapsed="false">
      <c r="C174" s="539" t="s">
        <v>583</v>
      </c>
      <c r="D174" s="536" t="n">
        <v>1.12949</v>
      </c>
      <c r="E174" s="536" t="n">
        <f aca="false">1/1.12949</f>
        <v>0.885355337364651</v>
      </c>
      <c r="F174" s="536" t="n">
        <v>0.582515</v>
      </c>
      <c r="G174" s="540" t="n">
        <f aca="false">D174*E174/F174</f>
        <v>1.71669399071269</v>
      </c>
      <c r="H174" s="0" t="str">
        <f aca="false">VLOOKUP(C174,'11.Region'!$B$22:$E$243,4,FALSE())</f>
        <v>Europe</v>
      </c>
      <c r="I174" s="541" t="n">
        <f aca="false">G174</f>
        <v>1.71669399071269</v>
      </c>
    </row>
    <row r="175" customFormat="false" ht="15" hidden="false" customHeight="false" outlineLevel="0" collapsed="false">
      <c r="C175" s="539" t="s">
        <v>385</v>
      </c>
      <c r="D175" s="536" t="n">
        <v>1.12949</v>
      </c>
      <c r="E175" s="536" t="n">
        <f aca="false">1/1.12949</f>
        <v>0.885355337364651</v>
      </c>
      <c r="F175" s="536" t="n">
        <v>0.552691</v>
      </c>
      <c r="G175" s="540" t="n">
        <f aca="false">D175*E175/F175</f>
        <v>1.80932926354871</v>
      </c>
      <c r="H175" s="0" t="str">
        <f aca="false">VLOOKUP(C175,'11.Region'!$B$22:$E$243,4,FALSE())</f>
        <v>Europe</v>
      </c>
      <c r="I175" s="541" t="n">
        <f aca="false">G175</f>
        <v>1.80932926354871</v>
      </c>
    </row>
    <row r="176" customFormat="false" ht="15" hidden="false" customHeight="false" outlineLevel="0" collapsed="false">
      <c r="C176" s="539" t="s">
        <v>499</v>
      </c>
      <c r="D176" s="536" t="n">
        <v>1.12949</v>
      </c>
      <c r="E176" s="536" t="n">
        <f aca="false">1/1.12949</f>
        <v>0.885355337364651</v>
      </c>
      <c r="F176" s="536" t="n">
        <v>0.501419094863328</v>
      </c>
      <c r="G176" s="540" t="n">
        <f aca="false">D176*E176/F176</f>
        <v>1.99433968559289</v>
      </c>
      <c r="H176" s="0" t="str">
        <f aca="false">VLOOKUP(C176,'11.Region'!$B$22:$E$243,4,FALSE())</f>
        <v>Europe</v>
      </c>
      <c r="I176" s="541" t="n">
        <f aca="false">G176</f>
        <v>1.99433968559289</v>
      </c>
    </row>
    <row r="177" customFormat="false" ht="15" hidden="false" customHeight="false" outlineLevel="0" collapsed="false">
      <c r="C177" s="539" t="s">
        <v>363</v>
      </c>
      <c r="D177" s="536" t="n">
        <v>1.12949</v>
      </c>
      <c r="E177" s="536" t="n">
        <v>23.36203</v>
      </c>
      <c r="F177" s="536" t="n">
        <v>12.897748</v>
      </c>
      <c r="G177" s="540" t="n">
        <f aca="false">D177*E177/F177</f>
        <v>2.04587492829756</v>
      </c>
      <c r="H177" s="0" t="str">
        <f aca="false">VLOOKUP(C177,'11.Region'!$B$22:$E$243,4,FALSE())</f>
        <v>Europe</v>
      </c>
      <c r="I177" s="541" t="n">
        <f aca="false">G177</f>
        <v>2.04587492829756</v>
      </c>
    </row>
    <row r="178" customFormat="false" ht="15" hidden="false" customHeight="false" outlineLevel="0" collapsed="false">
      <c r="C178" s="539" t="s">
        <v>625</v>
      </c>
      <c r="D178" s="536" t="n">
        <v>1.12949</v>
      </c>
      <c r="E178" s="536" t="n">
        <f aca="false">1/1.12949</f>
        <v>0.885355337364651</v>
      </c>
      <c r="F178" s="536" t="n">
        <v>0.486526</v>
      </c>
      <c r="G178" s="540" t="n">
        <f aca="false">D178*E178/F178</f>
        <v>2.05538861232493</v>
      </c>
      <c r="H178" s="0" t="str">
        <f aca="false">VLOOKUP(C178,'11.Region'!$B$22:$E$243,4,FALSE())</f>
        <v>Europe</v>
      </c>
      <c r="I178" s="541" t="n">
        <f aca="false">G178</f>
        <v>2.05538861232493</v>
      </c>
    </row>
    <row r="179" customFormat="false" ht="15" hidden="false" customHeight="false" outlineLevel="0" collapsed="false">
      <c r="C179" s="539" t="s">
        <v>433</v>
      </c>
      <c r="D179" s="536" t="n">
        <v>1.12949</v>
      </c>
      <c r="E179" s="536" t="n">
        <v>6.61403</v>
      </c>
      <c r="F179" s="536" t="n">
        <v>3.48553992522658</v>
      </c>
      <c r="G179" s="540" t="n">
        <f aca="false">D179*E179/F179</f>
        <v>2.14327791531878</v>
      </c>
      <c r="H179" s="0" t="str">
        <f aca="false">VLOOKUP(C179,'11.Region'!$B$22:$E$243,4,FALSE())</f>
        <v>Europe</v>
      </c>
      <c r="I179" s="541" t="n">
        <f aca="false">G179</f>
        <v>2.14327791531878</v>
      </c>
    </row>
    <row r="180" customFormat="false" ht="15" hidden="false" customHeight="false" outlineLevel="0" collapsed="false">
      <c r="C180" s="539" t="s">
        <v>495</v>
      </c>
      <c r="D180" s="536" t="n">
        <v>1.12949</v>
      </c>
      <c r="E180" s="536" t="n">
        <f aca="false">1/1.12949</f>
        <v>0.885355337364651</v>
      </c>
      <c r="F180" s="536" t="n">
        <v>0.461241471610829</v>
      </c>
      <c r="G180" s="540" t="n">
        <f aca="false">D180*E180/F180</f>
        <v>2.16806176709918</v>
      </c>
      <c r="H180" s="0" t="str">
        <f aca="false">VLOOKUP(C180,'11.Region'!$B$22:$E$243,4,FALSE())</f>
        <v>Europe</v>
      </c>
      <c r="I180" s="541" t="n">
        <f aca="false">G180</f>
        <v>2.16806176709918</v>
      </c>
    </row>
    <row r="181" customFormat="false" ht="15" hidden="false" customHeight="false" outlineLevel="0" collapsed="false">
      <c r="C181" s="539" t="s">
        <v>437</v>
      </c>
      <c r="D181" s="536" t="n">
        <v>1.12949</v>
      </c>
      <c r="E181" s="536" t="n">
        <v>274.10039</v>
      </c>
      <c r="F181" s="536" t="n">
        <v>137.576062</v>
      </c>
      <c r="G181" s="540" t="n">
        <f aca="false">D181*E181/F181</f>
        <v>2.25034533624825</v>
      </c>
      <c r="H181" s="0" t="str">
        <f aca="false">VLOOKUP(C181,'11.Region'!$B$22:$E$243,4,FALSE())</f>
        <v>Europe</v>
      </c>
      <c r="I181" s="541" t="n">
        <f aca="false">G181</f>
        <v>2.25034533624825</v>
      </c>
    </row>
    <row r="182" customFormat="false" ht="15" hidden="false" customHeight="false" outlineLevel="0" collapsed="false">
      <c r="C182" s="539" t="s">
        <v>595</v>
      </c>
      <c r="D182" s="536" t="n">
        <v>1.12949</v>
      </c>
      <c r="E182" s="536" t="n">
        <v>58.29239</v>
      </c>
      <c r="F182" s="536" t="n">
        <v>24.547936</v>
      </c>
      <c r="G182" s="540" t="n">
        <f aca="false">D182*E182/F182</f>
        <v>2.68212657801862</v>
      </c>
      <c r="H182" s="0" t="str">
        <f aca="false">VLOOKUP(C182,'11.Region'!$B$22:$E$243,4,FALSE())</f>
        <v>Europe</v>
      </c>
      <c r="I182" s="541" t="n">
        <f aca="false">G182</f>
        <v>2.68212657801862</v>
      </c>
    </row>
    <row r="183" customFormat="false" ht="15" hidden="false" customHeight="false" outlineLevel="0" collapsed="false">
      <c r="C183" s="539" t="s">
        <v>593</v>
      </c>
      <c r="D183" s="536" t="n">
        <v>1.12949</v>
      </c>
      <c r="E183" s="536" t="n">
        <v>4.04725</v>
      </c>
      <c r="F183" s="536" t="n">
        <v>1.69586564059295</v>
      </c>
      <c r="G183" s="540" t="n">
        <f aca="false">D183*E183/F183</f>
        <v>2.69557227475973</v>
      </c>
      <c r="H183" s="0" t="str">
        <f aca="false">VLOOKUP(C183,'11.Region'!$B$22:$E$243,4,FALSE())</f>
        <v>Europe</v>
      </c>
      <c r="I183" s="541" t="n">
        <f aca="false">G183</f>
        <v>2.69557227475973</v>
      </c>
    </row>
    <row r="184" customFormat="false" ht="15" hidden="false" customHeight="false" outlineLevel="0" collapsed="false">
      <c r="C184" s="539" t="s">
        <v>527</v>
      </c>
      <c r="D184" s="536" t="n">
        <v>1.12949</v>
      </c>
      <c r="E184" s="536" t="n">
        <f aca="false">1/1.12949</f>
        <v>0.885355337364651</v>
      </c>
      <c r="F184" s="536" t="n">
        <v>0.362693298031742</v>
      </c>
      <c r="G184" s="540" t="n">
        <f aca="false">D184*E184/F184</f>
        <v>2.75715047790181</v>
      </c>
      <c r="H184" s="0" t="str">
        <f aca="false">VLOOKUP(C184,'11.Region'!$B$22:$E$243,4,FALSE())</f>
        <v>Europe</v>
      </c>
      <c r="I184" s="541" t="n">
        <f aca="false">G184</f>
        <v>2.75715047790181</v>
      </c>
    </row>
    <row r="185" customFormat="false" ht="15" hidden="false" customHeight="false" outlineLevel="0" collapsed="false">
      <c r="C185" s="539" t="s">
        <v>509</v>
      </c>
      <c r="D185" s="536" t="n">
        <v>1.12949</v>
      </c>
      <c r="E185" s="536" t="n">
        <v>18.2129</v>
      </c>
      <c r="F185" s="536" t="n">
        <v>7.43448148063916</v>
      </c>
      <c r="G185" s="540" t="n">
        <f aca="false">D185*E185/F185</f>
        <v>2.76701051372199</v>
      </c>
      <c r="H185" s="0" t="str">
        <f aca="false">VLOOKUP(C185,'11.Region'!$B$22:$E$243,4,FALSE())</f>
        <v>Europe</v>
      </c>
      <c r="I185" s="541" t="n">
        <f aca="false">G185</f>
        <v>2.76701051372199</v>
      </c>
    </row>
    <row r="186" customFormat="false" ht="15" hidden="false" customHeight="false" outlineLevel="0" collapsed="false">
      <c r="C186" s="539" t="s">
        <v>309</v>
      </c>
      <c r="D186" s="536" t="n">
        <v>1.12949</v>
      </c>
      <c r="E186" s="536" t="n">
        <v>1.73217</v>
      </c>
      <c r="F186" s="536" t="n">
        <v>0.698236860098049</v>
      </c>
      <c r="G186" s="540" t="n">
        <f aca="false">D186*E186/F186</f>
        <v>2.8020129058</v>
      </c>
      <c r="H186" s="0" t="str">
        <f aca="false">VLOOKUP(C186,'11.Region'!$B$22:$E$243,4,FALSE())</f>
        <v>Europe</v>
      </c>
      <c r="I186" s="541" t="n">
        <f aca="false">G186</f>
        <v>2.8020129058</v>
      </c>
    </row>
    <row r="187" customFormat="false" ht="15" hidden="false" customHeight="false" outlineLevel="0" collapsed="false">
      <c r="C187" s="539" t="s">
        <v>303</v>
      </c>
      <c r="D187" s="536" t="n">
        <v>1.12949</v>
      </c>
      <c r="E187" s="536" t="n">
        <v>1.72845</v>
      </c>
      <c r="F187" s="536" t="n">
        <v>0.685651212522367</v>
      </c>
      <c r="G187" s="540" t="n">
        <f aca="false">D187*E187/F187</f>
        <v>2.84731792906487</v>
      </c>
      <c r="H187" s="0" t="str">
        <f aca="false">VLOOKUP(C187,'11.Region'!$B$22:$E$243,4,FALSE())</f>
        <v>Europe</v>
      </c>
      <c r="I187" s="541" t="n">
        <f aca="false">G187</f>
        <v>2.84731792906487</v>
      </c>
    </row>
    <row r="188" customFormat="false" ht="15" hidden="false" customHeight="false" outlineLevel="0" collapsed="false">
      <c r="C188" s="539" t="s">
        <v>617</v>
      </c>
      <c r="D188" s="536" t="n">
        <v>1.12949</v>
      </c>
      <c r="E188" s="536" t="n">
        <v>107.40032</v>
      </c>
      <c r="F188" s="536" t="n">
        <v>42.1325700819016</v>
      </c>
      <c r="G188" s="540" t="n">
        <f aca="false">D188*E188/F188</f>
        <v>2.87918793467832</v>
      </c>
      <c r="H188" s="0" t="str">
        <f aca="false">VLOOKUP(C188,'11.Region'!$B$22:$E$243,4,FALSE())</f>
        <v>Europe</v>
      </c>
      <c r="I188" s="541" t="n">
        <f aca="false">G188</f>
        <v>2.87918793467832</v>
      </c>
    </row>
    <row r="189" customFormat="false" ht="15" hidden="false" customHeight="false" outlineLevel="0" collapsed="false">
      <c r="C189" s="539" t="s">
        <v>271</v>
      </c>
      <c r="D189" s="536" t="n">
        <v>1.12949</v>
      </c>
      <c r="E189" s="536" t="n">
        <v>117.69137</v>
      </c>
      <c r="F189" s="536" t="n">
        <v>44.9606493941025</v>
      </c>
      <c r="G189" s="540" t="n">
        <f aca="false">D189*E189/F189</f>
        <v>2.95661266669197</v>
      </c>
      <c r="H189" s="0" t="str">
        <f aca="false">VLOOKUP(C189,'11.Region'!$B$22:$E$243,4,FALSE())</f>
        <v>Europe</v>
      </c>
      <c r="I189" s="541" t="n">
        <f aca="false">G189</f>
        <v>2.95661266669197</v>
      </c>
    </row>
    <row r="190" customFormat="false" ht="15" hidden="false" customHeight="false" outlineLevel="0" collapsed="false">
      <c r="C190" s="539" t="s">
        <v>519</v>
      </c>
      <c r="D190" s="536" t="n">
        <v>1.12949</v>
      </c>
      <c r="E190" s="536" t="n">
        <v>54.24558</v>
      </c>
      <c r="F190" s="536" t="n">
        <v>19.5336154553818</v>
      </c>
      <c r="G190" s="540" t="n">
        <f aca="false">D190*E190/F190</f>
        <v>3.1366359337907</v>
      </c>
      <c r="H190" s="0" t="str">
        <f aca="false">VLOOKUP(C190,'11.Region'!$B$22:$E$243,4,FALSE())</f>
        <v>Europe</v>
      </c>
      <c r="I190" s="541" t="n">
        <f aca="false">G190</f>
        <v>3.1366359337907</v>
      </c>
    </row>
    <row r="191" customFormat="false" ht="15" hidden="false" customHeight="false" outlineLevel="0" collapsed="false">
      <c r="C191" s="539" t="s">
        <v>689</v>
      </c>
      <c r="D191" s="536" t="n">
        <v>1.12949</v>
      </c>
      <c r="E191" s="536" t="n">
        <v>1</v>
      </c>
      <c r="F191" s="536" t="n">
        <v>0.321311102955936</v>
      </c>
      <c r="G191" s="540" t="n">
        <f aca="false">D191*E191/F191</f>
        <v>3.51525356456448</v>
      </c>
      <c r="H191" s="0" t="str">
        <f aca="false">VLOOKUP(C191,'11.Region'!$B$22:$E$243,4,FALSE())</f>
        <v>Europe</v>
      </c>
      <c r="I191" s="541" t="n">
        <f aca="false">G191</f>
        <v>3.51525356456448</v>
      </c>
    </row>
    <row r="192" customFormat="false" ht="15" hidden="false" customHeight="false" outlineLevel="0" collapsed="false">
      <c r="C192" s="539" t="s">
        <v>667</v>
      </c>
      <c r="D192" s="536" t="n">
        <v>1.12949</v>
      </c>
      <c r="E192" s="536" t="n">
        <v>26.40741</v>
      </c>
      <c r="F192" s="536" t="n">
        <v>8.10097955919182</v>
      </c>
      <c r="G192" s="540" t="n">
        <f aca="false">D192*E192/F192</f>
        <v>3.68188875221352</v>
      </c>
      <c r="H192" s="0" t="str">
        <f aca="false">VLOOKUP(C192,'11.Region'!$B$22:$E$243,4,FALSE())</f>
        <v>Europe</v>
      </c>
      <c r="I192" s="541" t="n">
        <f aca="false">G192</f>
        <v>3.68188875221352</v>
      </c>
    </row>
    <row r="193" customFormat="false" ht="15" hidden="false" customHeight="false" outlineLevel="0" collapsed="false">
      <c r="C193" s="539" t="s">
        <v>311</v>
      </c>
      <c r="D193" s="536" t="n">
        <v>1.12949</v>
      </c>
      <c r="E193" s="536" t="n">
        <v>1.977391353</v>
      </c>
      <c r="F193" s="536" t="n">
        <v>0.587035544710029</v>
      </c>
      <c r="G193" s="540" t="n">
        <f aca="false">D193*E193/F193</f>
        <v>3.80461418295071</v>
      </c>
      <c r="H193" s="0" t="str">
        <f aca="false">VLOOKUP(C193,'11.Region'!$B$22:$E$243,4,FALSE())</f>
        <v>Europe</v>
      </c>
      <c r="I193" s="541" t="n">
        <f aca="false">G193</f>
        <v>3.80461418295071</v>
      </c>
    </row>
    <row r="194" customFormat="false" ht="15" hidden="false" customHeight="false" outlineLevel="0" collapsed="false">
      <c r="C194" s="539" t="s">
        <v>274</v>
      </c>
      <c r="D194" s="536" t="n">
        <v>1.12949</v>
      </c>
      <c r="E194" s="536" t="n">
        <f aca="false">1/1.12949</f>
        <v>0.885355337364651</v>
      </c>
      <c r="G194" s="540" t="e">
        <f aca="false">D194*E194/F194</f>
        <v>#DIV/0!</v>
      </c>
      <c r="H194" s="0" t="str">
        <f aca="false">VLOOKUP(C194,'11.Region'!$B$22:$E$243,4,FALSE())</f>
        <v>Europe</v>
      </c>
      <c r="I194" s="541" t="n">
        <f aca="false">$K$153</f>
        <v>1.93286164519776</v>
      </c>
      <c r="J194" s="0" t="s">
        <v>263</v>
      </c>
    </row>
    <row r="195" customFormat="false" ht="15" hidden="false" customHeight="false" outlineLevel="0" collapsed="false">
      <c r="C195" s="539" t="s">
        <v>395</v>
      </c>
      <c r="D195" s="536" t="n">
        <v>1.12949</v>
      </c>
      <c r="G195" s="540" t="e">
        <f aca="false">D195*E195/F195</f>
        <v>#DIV/0!</v>
      </c>
      <c r="H195" s="0" t="str">
        <f aca="false">VLOOKUP(C195,'11.Region'!$B$22:$E$243,4,FALSE())</f>
        <v>Europe</v>
      </c>
      <c r="I195" s="541" t="n">
        <f aca="false">$K$153</f>
        <v>1.93286164519776</v>
      </c>
      <c r="J195" s="0" t="s">
        <v>263</v>
      </c>
    </row>
    <row r="196" customFormat="false" ht="15" hidden="false" customHeight="false" outlineLevel="0" collapsed="false">
      <c r="C196" s="539" t="s">
        <v>407</v>
      </c>
      <c r="D196" s="536" t="n">
        <v>1.12949</v>
      </c>
      <c r="G196" s="540" t="e">
        <f aca="false">D196*E196/F196</f>
        <v>#DIV/0!</v>
      </c>
      <c r="H196" s="0" t="str">
        <f aca="false">VLOOKUP(C196,'11.Region'!$B$22:$E$243,4,FALSE())</f>
        <v>Europe</v>
      </c>
      <c r="I196" s="541" t="n">
        <f aca="false">$K$153</f>
        <v>1.93286164519776</v>
      </c>
      <c r="J196" s="0" t="s">
        <v>263</v>
      </c>
    </row>
    <row r="197" customFormat="false" ht="15" hidden="false" customHeight="false" outlineLevel="0" collapsed="false">
      <c r="C197" s="539" t="s">
        <v>441</v>
      </c>
      <c r="D197" s="536" t="n">
        <v>1.12949</v>
      </c>
      <c r="G197" s="540" t="e">
        <f aca="false">D197*E197/F197</f>
        <v>#DIV/0!</v>
      </c>
      <c r="H197" s="0" t="str">
        <f aca="false">VLOOKUP(C197,'11.Region'!$B$22:$E$243,4,FALSE())</f>
        <v>Europe</v>
      </c>
      <c r="I197" s="541" t="n">
        <f aca="false">$K$153</f>
        <v>1.93286164519776</v>
      </c>
      <c r="J197" s="0" t="s">
        <v>263</v>
      </c>
    </row>
    <row r="198" customFormat="false" ht="15" hidden="false" customHeight="false" outlineLevel="0" collapsed="false">
      <c r="C198" s="539" t="s">
        <v>489</v>
      </c>
      <c r="D198" s="536" t="n">
        <v>1.12949</v>
      </c>
      <c r="G198" s="540" t="e">
        <f aca="false">D198*E198/F198</f>
        <v>#DIV/0!</v>
      </c>
      <c r="H198" s="0" t="str">
        <f aca="false">VLOOKUP(C198,'11.Region'!$B$22:$E$243,4,FALSE())</f>
        <v>Europe</v>
      </c>
      <c r="I198" s="541" t="n">
        <f aca="false">$K$153</f>
        <v>1.93286164519776</v>
      </c>
      <c r="J198" s="0" t="s">
        <v>263</v>
      </c>
    </row>
    <row r="199" customFormat="false" ht="15" hidden="false" customHeight="false" outlineLevel="0" collapsed="false">
      <c r="C199" s="539" t="s">
        <v>507</v>
      </c>
      <c r="D199" s="536" t="n">
        <v>1.12949</v>
      </c>
      <c r="E199" s="536" t="n">
        <f aca="false">1/1.12949</f>
        <v>0.885355337364651</v>
      </c>
      <c r="G199" s="540" t="e">
        <f aca="false">D199*E199/F199</f>
        <v>#DIV/0!</v>
      </c>
      <c r="H199" s="0" t="str">
        <f aca="false">VLOOKUP(C199,'11.Region'!$B$22:$E$243,4,FALSE())</f>
        <v>Europe</v>
      </c>
      <c r="I199" s="541" t="n">
        <f aca="false">$K$153</f>
        <v>1.93286164519776</v>
      </c>
      <c r="J199" s="0" t="s">
        <v>263</v>
      </c>
    </row>
    <row r="200" customFormat="false" ht="15" hidden="false" customHeight="false" outlineLevel="0" collapsed="false">
      <c r="C200" s="539" t="s">
        <v>687</v>
      </c>
      <c r="D200" s="536" t="n">
        <v>1.12949</v>
      </c>
      <c r="E200" s="536" t="n">
        <v>1</v>
      </c>
      <c r="F200" s="536" t="n">
        <v>1.6425069820888</v>
      </c>
      <c r="G200" s="540" t="n">
        <f aca="false">D200*E200/F200</f>
        <v>0.687662221419364</v>
      </c>
      <c r="H200" s="0" t="str">
        <f aca="false">VLOOKUP(C200,'11.Region'!$B$22:$E$243,4,FALSE())</f>
        <v>Oceania</v>
      </c>
      <c r="I200" s="541" t="n">
        <f aca="false">G200</f>
        <v>0.687662221419364</v>
      </c>
      <c r="K200" s="542" t="n">
        <f aca="false">AVERAGE(G200:G213)</f>
        <v>1.35633083709363</v>
      </c>
      <c r="L200" s="543" t="s">
        <v>283</v>
      </c>
    </row>
    <row r="201" customFormat="false" ht="15" hidden="false" customHeight="false" outlineLevel="0" collapsed="false">
      <c r="C201" s="539" t="s">
        <v>287</v>
      </c>
      <c r="D201" s="536" t="n">
        <v>1.12949</v>
      </c>
      <c r="E201" s="536" t="n">
        <v>1.30488</v>
      </c>
      <c r="F201" s="536" t="n">
        <v>1.516225</v>
      </c>
      <c r="G201" s="540" t="n">
        <f aca="false">D201*E201/F201</f>
        <v>0.972051582845554</v>
      </c>
      <c r="H201" s="0" t="str">
        <f aca="false">VLOOKUP(C201,'11.Region'!$B$22:$E$243,4,FALSE())</f>
        <v>Oceania</v>
      </c>
      <c r="I201" s="541" t="n">
        <f aca="false">G201</f>
        <v>0.972051582845554</v>
      </c>
    </row>
    <row r="202" customFormat="false" ht="15" hidden="false" customHeight="false" outlineLevel="0" collapsed="false">
      <c r="C202" s="539" t="s">
        <v>561</v>
      </c>
      <c r="D202" s="536" t="n">
        <v>1.12949</v>
      </c>
      <c r="E202" s="536" t="n">
        <v>1.40717</v>
      </c>
      <c r="F202" s="536" t="n">
        <v>1.477015</v>
      </c>
      <c r="G202" s="540" t="n">
        <f aca="false">D202*E202/F202</f>
        <v>1.07607874212516</v>
      </c>
      <c r="H202" s="0" t="str">
        <f aca="false">VLOOKUP(C202,'11.Region'!$B$22:$E$243,4,FALSE())</f>
        <v>Oceania</v>
      </c>
      <c r="I202" s="541" t="n">
        <f aca="false">G202</f>
        <v>1.07607874212516</v>
      </c>
    </row>
    <row r="203" customFormat="false" ht="15" hidden="false" customHeight="false" outlineLevel="0" collapsed="false">
      <c r="C203" s="539" t="s">
        <v>685</v>
      </c>
      <c r="D203" s="536" t="n">
        <v>1.12949</v>
      </c>
      <c r="E203" s="547" t="n">
        <v>106.12934</v>
      </c>
      <c r="F203" s="536" t="n">
        <v>103.3875398947</v>
      </c>
      <c r="G203" s="540" t="n">
        <f aca="false">D203*E203/F203</f>
        <v>1.15944366563601</v>
      </c>
      <c r="H203" s="0" t="str">
        <f aca="false">VLOOKUP(C203,'11.Region'!$B$22:$E$243,4,FALSE())</f>
        <v>Oceania</v>
      </c>
      <c r="I203" s="541" t="n">
        <f aca="false">G203</f>
        <v>1.15944366563601</v>
      </c>
    </row>
    <row r="204" customFormat="false" ht="15" hidden="false" customHeight="false" outlineLevel="0" collapsed="false">
      <c r="C204" s="539" t="s">
        <v>573</v>
      </c>
      <c r="D204" s="536" t="n">
        <v>1.12949</v>
      </c>
      <c r="E204" s="536" t="n">
        <v>1</v>
      </c>
      <c r="F204" s="536" t="n">
        <v>0.923036082275079</v>
      </c>
      <c r="G204" s="540" t="n">
        <f aca="false">D204*E204/F204</f>
        <v>1.22366830689442</v>
      </c>
      <c r="H204" s="0" t="str">
        <f aca="false">VLOOKUP(C204,'11.Region'!$B$22:$E$243,4,FALSE())</f>
        <v>Oceania</v>
      </c>
      <c r="I204" s="541" t="n">
        <f aca="false">G204</f>
        <v>1.22366830689442</v>
      </c>
    </row>
    <row r="205" customFormat="false" ht="15" hidden="false" customHeight="false" outlineLevel="0" collapsed="false">
      <c r="C205" s="539" t="s">
        <v>607</v>
      </c>
      <c r="D205" s="536" t="n">
        <v>1.12949</v>
      </c>
      <c r="E205" s="536" t="n">
        <v>7.64672</v>
      </c>
      <c r="F205" s="536" t="n">
        <v>6.9439924666351</v>
      </c>
      <c r="G205" s="540" t="n">
        <f aca="false">D205*E205/F205</f>
        <v>1.24379365535015</v>
      </c>
      <c r="H205" s="0" t="str">
        <f aca="false">VLOOKUP(C205,'11.Region'!$B$22:$E$243,4,FALSE())</f>
        <v>Oceania</v>
      </c>
      <c r="I205" s="541" t="n">
        <f aca="false">G205</f>
        <v>1.24379365535015</v>
      </c>
    </row>
    <row r="206" customFormat="false" ht="15" hidden="false" customHeight="false" outlineLevel="0" collapsed="false">
      <c r="C206" s="539" t="s">
        <v>661</v>
      </c>
      <c r="D206" s="536" t="n">
        <v>1.12949</v>
      </c>
      <c r="E206" s="536" t="n">
        <v>1.30488</v>
      </c>
      <c r="F206" s="536" t="n">
        <v>1.17165386377771</v>
      </c>
      <c r="G206" s="540" t="n">
        <f aca="false">D206*E206/F206</f>
        <v>1.25792177772362</v>
      </c>
      <c r="H206" s="0" t="str">
        <f aca="false">VLOOKUP(C206,'11.Region'!$B$22:$E$243,4,FALSE())</f>
        <v>Oceania</v>
      </c>
      <c r="I206" s="541" t="n">
        <f aca="false">G206</f>
        <v>1.25792177772362</v>
      </c>
    </row>
    <row r="207" customFormat="false" ht="15" hidden="false" customHeight="false" outlineLevel="0" collapsed="false">
      <c r="C207" s="539" t="s">
        <v>517</v>
      </c>
      <c r="D207" s="536" t="n">
        <v>1.12949</v>
      </c>
      <c r="E207" s="536" t="n">
        <v>1</v>
      </c>
      <c r="F207" s="536" t="n">
        <v>0.895139466288157</v>
      </c>
      <c r="G207" s="540" t="n">
        <f aca="false">D207*E207/F207</f>
        <v>1.26180337538196</v>
      </c>
      <c r="H207" s="0" t="str">
        <f aca="false">VLOOKUP(C207,'11.Region'!$B$22:$E$243,4,FALSE())</f>
        <v>Oceania</v>
      </c>
      <c r="I207" s="541" t="n">
        <f aca="false">G207</f>
        <v>1.26180337538196</v>
      </c>
    </row>
    <row r="208" customFormat="false" ht="15" hidden="false" customHeight="false" outlineLevel="0" collapsed="false">
      <c r="C208" s="539" t="s">
        <v>397</v>
      </c>
      <c r="D208" s="536" t="n">
        <v>1.12949</v>
      </c>
      <c r="E208" s="536" t="n">
        <v>1</v>
      </c>
      <c r="F208" s="536" t="n">
        <v>0.879973781757838</v>
      </c>
      <c r="G208" s="540" t="n">
        <f aca="false">D208*E208/F208</f>
        <v>1.28354960501633</v>
      </c>
      <c r="H208" s="0" t="str">
        <f aca="false">VLOOKUP(C208,'11.Region'!$B$22:$E$243,4,FALSE())</f>
        <v>Oceania</v>
      </c>
      <c r="I208" s="541" t="n">
        <f aca="false">G208</f>
        <v>1.28354960501633</v>
      </c>
    </row>
    <row r="209" customFormat="false" ht="15" hidden="false" customHeight="false" outlineLevel="0" collapsed="false">
      <c r="C209" s="539" t="s">
        <v>471</v>
      </c>
      <c r="D209" s="536" t="n">
        <v>1.12949</v>
      </c>
      <c r="E209" s="536" t="n">
        <v>1.30488</v>
      </c>
      <c r="F209" s="536" t="n">
        <v>1.01094754194661</v>
      </c>
      <c r="G209" s="540" t="n">
        <f aca="false">D209*E209/F209</f>
        <v>1.45788861443993</v>
      </c>
      <c r="H209" s="0" t="str">
        <f aca="false">VLOOKUP(C209,'11.Region'!$B$22:$E$243,4,FALSE())</f>
        <v>Oceania</v>
      </c>
      <c r="I209" s="541" t="n">
        <f aca="false">G209</f>
        <v>1.45788861443993</v>
      </c>
    </row>
    <row r="210" customFormat="false" ht="15" hidden="false" customHeight="false" outlineLevel="0" collapsed="false">
      <c r="C210" s="539" t="s">
        <v>653</v>
      </c>
      <c r="D210" s="536" t="n">
        <v>1.12949</v>
      </c>
      <c r="E210" s="536" t="n">
        <v>2.26634</v>
      </c>
      <c r="F210" s="536" t="n">
        <v>1.46372744667467</v>
      </c>
      <c r="G210" s="540" t="n">
        <f aca="false">D210*E210/F210</f>
        <v>1.74882856259574</v>
      </c>
      <c r="H210" s="0" t="str">
        <f aca="false">VLOOKUP(C210,'11.Region'!$B$22:$E$243,4,FALSE())</f>
        <v>Oceania</v>
      </c>
      <c r="I210" s="541" t="n">
        <f aca="false">G210</f>
        <v>1.74882856259574</v>
      </c>
    </row>
    <row r="211" customFormat="false" ht="15" hidden="false" customHeight="false" outlineLevel="0" collapsed="false">
      <c r="C211" s="539" t="s">
        <v>575</v>
      </c>
      <c r="D211" s="536" t="n">
        <v>1.12949</v>
      </c>
      <c r="E211" s="536" t="n">
        <v>3.12514</v>
      </c>
      <c r="F211" s="536" t="n">
        <v>1.94174409917977</v>
      </c>
      <c r="G211" s="540" t="n">
        <f aca="false">D211*E211/F211</f>
        <v>1.81785765698532</v>
      </c>
      <c r="H211" s="0" t="str">
        <f aca="false">VLOOKUP(C211,'11.Region'!$B$22:$E$243,4,FALSE())</f>
        <v>Oceania</v>
      </c>
      <c r="I211" s="541" t="n">
        <f aca="false">G211</f>
        <v>1.81785765698532</v>
      </c>
    </row>
    <row r="212" customFormat="false" ht="15" hidden="false" customHeight="false" outlineLevel="0" collapsed="false">
      <c r="C212" s="539" t="s">
        <v>559</v>
      </c>
      <c r="D212" s="536" t="n">
        <v>1.12949</v>
      </c>
      <c r="E212" s="536" t="n">
        <v>1.30488</v>
      </c>
      <c r="F212" s="536" t="n">
        <v>0.781427200668124</v>
      </c>
      <c r="G212" s="540" t="n">
        <f aca="false">D212*E212/F212</f>
        <v>1.88609880733593</v>
      </c>
      <c r="H212" s="0" t="str">
        <f aca="false">VLOOKUP(C212,'11.Region'!$B$22:$E$243,4,FALSE())</f>
        <v>Oceania</v>
      </c>
      <c r="I212" s="541" t="n">
        <f aca="false">G212</f>
        <v>1.88609880733593</v>
      </c>
    </row>
    <row r="213" customFormat="false" ht="15" hidden="false" customHeight="false" outlineLevel="0" collapsed="false">
      <c r="C213" s="539" t="s">
        <v>391</v>
      </c>
      <c r="D213" s="536" t="n">
        <v>1.12949</v>
      </c>
      <c r="E213" s="536" t="n">
        <v>2.04679</v>
      </c>
      <c r="F213" s="536" t="n">
        <v>1.20912489433657</v>
      </c>
      <c r="G213" s="540" t="n">
        <f aca="false">D213*E213/F213</f>
        <v>1.91198514556138</v>
      </c>
      <c r="H213" s="0" t="str">
        <f aca="false">VLOOKUP(C213,'11.Region'!$B$22:$E$243,4,FALSE())</f>
        <v>Oceania</v>
      </c>
      <c r="I213" s="541" t="n">
        <f aca="false">G213</f>
        <v>1.91198514556138</v>
      </c>
    </row>
    <row r="214" customFormat="false" ht="15" hidden="false" customHeight="false" outlineLevel="0" collapsed="false">
      <c r="C214" s="539" t="s">
        <v>282</v>
      </c>
      <c r="D214" s="536" t="n">
        <v>1.12949</v>
      </c>
      <c r="E214" s="536" t="n">
        <v>1</v>
      </c>
      <c r="G214" s="540" t="e">
        <f aca="false">D214*E214/F214</f>
        <v>#DIV/0!</v>
      </c>
      <c r="H214" s="0" t="str">
        <f aca="false">VLOOKUP(C214,'11.Region'!$B$22:$E$243,4,FALSE())</f>
        <v>Oceania</v>
      </c>
      <c r="I214" s="541" t="n">
        <f aca="false">$K$200</f>
        <v>1.35633083709363</v>
      </c>
      <c r="J214" s="0" t="s">
        <v>263</v>
      </c>
    </row>
    <row r="215" customFormat="false" ht="15" hidden="false" customHeight="false" outlineLevel="0" collapsed="false">
      <c r="C215" s="539" t="s">
        <v>425</v>
      </c>
      <c r="D215" s="536" t="n">
        <v>1.12949</v>
      </c>
      <c r="G215" s="540" t="e">
        <f aca="false">D215*E215/F215</f>
        <v>#DIV/0!</v>
      </c>
      <c r="H215" s="0" t="str">
        <f aca="false">VLOOKUP(C215,'11.Region'!$B$22:$E$243,4,FALSE())</f>
        <v>Oceania</v>
      </c>
      <c r="I215" s="541" t="n">
        <f aca="false">$K$200</f>
        <v>1.35633083709363</v>
      </c>
      <c r="J215" s="0" t="s">
        <v>263</v>
      </c>
    </row>
    <row r="216" customFormat="false" ht="15" hidden="false" customHeight="false" outlineLevel="0" collapsed="false">
      <c r="C216" s="539" t="s">
        <v>531</v>
      </c>
      <c r="D216" s="536" t="n">
        <v>1.12949</v>
      </c>
      <c r="G216" s="540" t="e">
        <f aca="false">D216*E216/F216</f>
        <v>#DIV/0!</v>
      </c>
      <c r="H216" s="0" t="str">
        <f aca="false">VLOOKUP(C216,'11.Region'!$B$22:$E$243,4,FALSE())</f>
        <v>Oceania</v>
      </c>
      <c r="I216" s="541" t="n">
        <f aca="false">$K$200</f>
        <v>1.35633083709363</v>
      </c>
      <c r="J216" s="0" t="s">
        <v>263</v>
      </c>
    </row>
    <row r="217" customFormat="false" ht="15" hidden="false" customHeight="false" outlineLevel="0" collapsed="false">
      <c r="C217" s="539" t="s">
        <v>545</v>
      </c>
      <c r="D217" s="536" t="n">
        <v>1.12949</v>
      </c>
      <c r="G217" s="540" t="e">
        <f aca="false">D217*E217/F217</f>
        <v>#DIV/0!</v>
      </c>
      <c r="H217" s="0" t="str">
        <f aca="false">VLOOKUP(C217,'11.Region'!$B$22:$E$243,4,FALSE())</f>
        <v>Oceania</v>
      </c>
      <c r="I217" s="541" t="n">
        <f aca="false">$K$200</f>
        <v>1.35633083709363</v>
      </c>
      <c r="J217" s="0" t="s">
        <v>263</v>
      </c>
    </row>
    <row r="218" customFormat="false" ht="15" hidden="false" customHeight="false" outlineLevel="0" collapsed="false">
      <c r="C218" s="539" t="s">
        <v>589</v>
      </c>
      <c r="D218" s="536" t="n">
        <v>1.12949</v>
      </c>
      <c r="G218" s="540" t="e">
        <f aca="false">D218*E218/F218</f>
        <v>#DIV/0!</v>
      </c>
      <c r="H218" s="0" t="str">
        <f aca="false">VLOOKUP(C218,'11.Region'!$B$22:$E$243,4,FALSE())</f>
        <v>Oceania</v>
      </c>
      <c r="I218" s="541" t="n">
        <f aca="false">$K$200</f>
        <v>1.35633083709363</v>
      </c>
      <c r="J218" s="0" t="s">
        <v>263</v>
      </c>
    </row>
    <row r="219" customFormat="false" ht="15" hidden="false" customHeight="false" outlineLevel="0" collapsed="false">
      <c r="C219" s="539" t="s">
        <v>710</v>
      </c>
      <c r="D219" s="536" t="n">
        <v>1.12949</v>
      </c>
      <c r="G219" s="540" t="e">
        <f aca="false">D219*E219/F219</f>
        <v>#DIV/0!</v>
      </c>
      <c r="H219" s="0" t="e">
        <f aca="false">VLOOKUP(C219,'11.Region'!$B$22:$E$243,4,FALSE())</f>
        <v>#N/A</v>
      </c>
    </row>
    <row r="220" customFormat="false" ht="15" hidden="false" customHeight="false" outlineLevel="0" collapsed="false">
      <c r="C220" s="539" t="s">
        <v>711</v>
      </c>
      <c r="D220" s="536" t="n">
        <v>1.12949</v>
      </c>
      <c r="G220" s="540" t="e">
        <f aca="false">D220*E220/F220</f>
        <v>#DIV/0!</v>
      </c>
      <c r="H220" s="0" t="e">
        <f aca="false">VLOOKUP(C220,'11.Region'!$B$22:$E$243,4,FALSE())</f>
        <v>#N/A</v>
      </c>
    </row>
    <row r="221" customFormat="false" ht="15" hidden="false" customHeight="false" outlineLevel="0" collapsed="false">
      <c r="C221" s="539" t="s">
        <v>712</v>
      </c>
      <c r="D221" s="536" t="n">
        <v>1.12949</v>
      </c>
      <c r="G221" s="540" t="e">
        <f aca="false">D221*E221/F221</f>
        <v>#DIV/0!</v>
      </c>
      <c r="H221" s="0" t="e">
        <f aca="false">VLOOKUP(C221,'11.Region'!$B$22:$E$243,4,FALSE())</f>
        <v>#N/A</v>
      </c>
    </row>
    <row r="222" customFormat="false" ht="15" hidden="false" customHeight="false" outlineLevel="0" collapsed="false">
      <c r="C222" s="539" t="s">
        <v>713</v>
      </c>
      <c r="D222" s="536" t="n">
        <v>1.12949</v>
      </c>
      <c r="G222" s="540" t="e">
        <f aca="false">D222*E222/F222</f>
        <v>#DIV/0!</v>
      </c>
      <c r="H222" s="0" t="e">
        <f aca="false">VLOOKUP(C222,'11.Region'!$B$22:$E$243,4,FALSE())</f>
        <v>#N/A</v>
      </c>
    </row>
    <row r="223" customFormat="false" ht="15" hidden="false" customHeight="false" outlineLevel="0" collapsed="false">
      <c r="C223" s="539" t="s">
        <v>714</v>
      </c>
      <c r="D223" s="536" t="n">
        <v>1.12949</v>
      </c>
      <c r="G223" s="540" t="e">
        <f aca="false">D223*E223/F223</f>
        <v>#DIV/0!</v>
      </c>
      <c r="H223" s="0" t="e">
        <f aca="false">VLOOKUP(C223,'11.Region'!$B$22:$E$243,4,FALSE())</f>
        <v>#N/A</v>
      </c>
    </row>
    <row r="224" customFormat="false" ht="15" hidden="false" customHeight="false" outlineLevel="0" collapsed="false">
      <c r="C224" s="539" t="s">
        <v>715</v>
      </c>
      <c r="D224" s="536" t="n">
        <v>1.12949</v>
      </c>
      <c r="G224" s="540" t="e">
        <f aca="false">D224*E224/F224</f>
        <v>#DIV/0!</v>
      </c>
      <c r="H224" s="0" t="e">
        <f aca="false">VLOOKUP(C224,'11.Region'!$B$22:$E$243,4,FALSE())</f>
        <v>#N/A</v>
      </c>
    </row>
    <row r="225" customFormat="false" ht="15" hidden="false" customHeight="false" outlineLevel="0" collapsed="false">
      <c r="C225" s="539" t="s">
        <v>716</v>
      </c>
      <c r="D225" s="536" t="n">
        <v>1.12949</v>
      </c>
      <c r="G225" s="540" t="e">
        <f aca="false">D225*E225/F225</f>
        <v>#DIV/0!</v>
      </c>
      <c r="H225" s="0" t="e">
        <f aca="false">VLOOKUP(C225,'11.Region'!$B$22:$E$243,4,FALSE())</f>
        <v>#N/A</v>
      </c>
    </row>
    <row r="226" customFormat="false" ht="15" hidden="false" customHeight="false" outlineLevel="0" collapsed="false">
      <c r="C226" s="539" t="s">
        <v>717</v>
      </c>
      <c r="D226" s="536" t="n">
        <v>1.12949</v>
      </c>
      <c r="G226" s="540" t="e">
        <f aca="false">D226*E226/F226</f>
        <v>#DIV/0!</v>
      </c>
      <c r="H226" s="0" t="e">
        <f aca="false">VLOOKUP(C226,'11.Region'!$B$22:$E$243,4,FALSE())</f>
        <v>#N/A</v>
      </c>
    </row>
    <row r="227" customFormat="false" ht="15" hidden="false" customHeight="false" outlineLevel="0" collapsed="false">
      <c r="C227" s="539" t="s">
        <v>718</v>
      </c>
      <c r="D227" s="536" t="n">
        <v>1.12949</v>
      </c>
      <c r="G227" s="540" t="e">
        <f aca="false">D227*E227/F227</f>
        <v>#DIV/0!</v>
      </c>
      <c r="H227" s="0" t="e">
        <f aca="false">VLOOKUP(C227,'11.Region'!$B$22:$E$243,4,FALSE())</f>
        <v>#N/A</v>
      </c>
    </row>
    <row r="228" customFormat="false" ht="15" hidden="false" customHeight="false" outlineLevel="0" collapsed="false">
      <c r="C228" s="539" t="s">
        <v>719</v>
      </c>
      <c r="D228" s="536" t="n">
        <v>1.12949</v>
      </c>
      <c r="G228" s="540" t="e">
        <f aca="false">D228*E228/F228</f>
        <v>#DIV/0!</v>
      </c>
      <c r="H228" s="0" t="e">
        <f aca="false">VLOOKUP(C228,'11.Region'!$B$22:$E$243,4,FALSE())</f>
        <v>#N/A</v>
      </c>
    </row>
    <row r="229" customFormat="false" ht="15" hidden="false" customHeight="false" outlineLevel="0" collapsed="false">
      <c r="C229" s="539" t="s">
        <v>720</v>
      </c>
      <c r="D229" s="536" t="n">
        <v>1.12949</v>
      </c>
      <c r="G229" s="540" t="e">
        <f aca="false">D229*E229/F229</f>
        <v>#DIV/0!</v>
      </c>
      <c r="H229" s="0" t="e">
        <f aca="false">VLOOKUP(C229,'11.Region'!$B$22:$E$243,4,FALSE())</f>
        <v>#N/A</v>
      </c>
    </row>
    <row r="230" customFormat="false" ht="15" hidden="false" customHeight="false" outlineLevel="0" collapsed="false">
      <c r="C230" s="539" t="s">
        <v>721</v>
      </c>
      <c r="D230" s="536" t="n">
        <v>1.12949</v>
      </c>
      <c r="G230" s="540" t="e">
        <f aca="false">D230*E230/F230</f>
        <v>#DIV/0!</v>
      </c>
      <c r="H230" s="0" t="e">
        <f aca="false">VLOOKUP(C230,'11.Region'!$B$22:$E$243,4,FALSE())</f>
        <v>#N/A</v>
      </c>
    </row>
    <row r="231" customFormat="false" ht="15" hidden="false" customHeight="false" outlineLevel="0" collapsed="false">
      <c r="C231" s="539" t="s">
        <v>722</v>
      </c>
      <c r="D231" s="536" t="n">
        <v>1.12949</v>
      </c>
      <c r="G231" s="540" t="e">
        <f aca="false">D231*E231/F231</f>
        <v>#DIV/0!</v>
      </c>
      <c r="H231" s="0" t="e">
        <f aca="false">VLOOKUP(C231,'11.Region'!$B$22:$E$243,4,FALSE())</f>
        <v>#N/A</v>
      </c>
    </row>
    <row r="232" customFormat="false" ht="15" hidden="false" customHeight="false" outlineLevel="0" collapsed="false">
      <c r="C232" s="539" t="s">
        <v>723</v>
      </c>
      <c r="D232" s="536" t="n">
        <v>1.12949</v>
      </c>
      <c r="G232" s="540" t="e">
        <f aca="false">D232*E232/F232</f>
        <v>#DIV/0!</v>
      </c>
      <c r="H232" s="0" t="e">
        <f aca="false">VLOOKUP(C232,'11.Region'!$B$22:$E$243,4,FALSE())</f>
        <v>#N/A</v>
      </c>
    </row>
    <row r="233" customFormat="false" ht="15" hidden="false" customHeight="false" outlineLevel="0" collapsed="false">
      <c r="C233" s="539" t="s">
        <v>724</v>
      </c>
      <c r="D233" s="536" t="n">
        <v>1.12949</v>
      </c>
      <c r="G233" s="540" t="e">
        <f aca="false">D233*E233/F233</f>
        <v>#DIV/0!</v>
      </c>
      <c r="H233" s="0" t="e">
        <f aca="false">VLOOKUP(C233,'11.Region'!$B$22:$E$243,4,FALSE())</f>
        <v>#N/A</v>
      </c>
    </row>
    <row r="234" customFormat="false" ht="15" hidden="false" customHeight="false" outlineLevel="0" collapsed="false">
      <c r="C234" s="539" t="s">
        <v>725</v>
      </c>
      <c r="D234" s="536" t="n">
        <v>1.12949</v>
      </c>
      <c r="G234" s="540" t="e">
        <f aca="false">D234*E234/F234</f>
        <v>#DIV/0!</v>
      </c>
      <c r="H234" s="0" t="e">
        <f aca="false">VLOOKUP(C234,'11.Region'!$B$22:$E$243,4,FALSE())</f>
        <v>#N/A</v>
      </c>
    </row>
    <row r="235" customFormat="false" ht="15" hidden="false" customHeight="false" outlineLevel="0" collapsed="false">
      <c r="C235" s="539" t="s">
        <v>726</v>
      </c>
      <c r="D235" s="536" t="n">
        <v>1.12949</v>
      </c>
      <c r="G235" s="540" t="e">
        <f aca="false">D235*E235/F235</f>
        <v>#DIV/0!</v>
      </c>
      <c r="H235" s="0" t="e">
        <f aca="false">VLOOKUP(C235,'11.Region'!$B$22:$E$243,4,FALSE())</f>
        <v>#N/A</v>
      </c>
    </row>
    <row r="236" customFormat="false" ht="15" hidden="false" customHeight="false" outlineLevel="0" collapsed="false">
      <c r="C236" s="539" t="s">
        <v>727</v>
      </c>
      <c r="D236" s="536" t="n">
        <v>1.12949</v>
      </c>
      <c r="G236" s="540" t="e">
        <f aca="false">D236*E236/F236</f>
        <v>#DIV/0!</v>
      </c>
      <c r="H236" s="0" t="e">
        <f aca="false">VLOOKUP(C236,'11.Region'!$B$22:$E$243,4,FALSE())</f>
        <v>#N/A</v>
      </c>
    </row>
    <row r="237" customFormat="false" ht="15" hidden="false" customHeight="false" outlineLevel="0" collapsed="false">
      <c r="C237" s="539" t="s">
        <v>728</v>
      </c>
      <c r="D237" s="536" t="n">
        <v>1.12949</v>
      </c>
      <c r="G237" s="540" t="e">
        <f aca="false">D237*E237/F237</f>
        <v>#DIV/0!</v>
      </c>
      <c r="H237" s="0" t="e">
        <f aca="false">VLOOKUP(C237,'11.Region'!$B$22:$E$243,4,FALSE())</f>
        <v>#N/A</v>
      </c>
    </row>
    <row r="238" customFormat="false" ht="15" hidden="false" customHeight="false" outlineLevel="0" collapsed="false">
      <c r="C238" s="539" t="s">
        <v>729</v>
      </c>
      <c r="D238" s="536" t="n">
        <v>1.12949</v>
      </c>
      <c r="G238" s="540" t="e">
        <f aca="false">D238*E238/F238</f>
        <v>#DIV/0!</v>
      </c>
      <c r="H238" s="0" t="e">
        <f aca="false">VLOOKUP(C238,'11.Region'!$B$22:$E$243,4,FALSE())</f>
        <v>#N/A</v>
      </c>
    </row>
    <row r="239" customFormat="false" ht="15" hidden="false" customHeight="false" outlineLevel="0" collapsed="false">
      <c r="C239" s="539" t="s">
        <v>730</v>
      </c>
      <c r="D239" s="536" t="n">
        <v>1.12949</v>
      </c>
      <c r="G239" s="540" t="e">
        <f aca="false">D239*E239/F239</f>
        <v>#DIV/0!</v>
      </c>
      <c r="H239" s="0" t="e">
        <f aca="false">VLOOKUP(C239,'11.Region'!$B$22:$E$243,4,FALSE())</f>
        <v>#N/A</v>
      </c>
    </row>
    <row r="240" customFormat="false" ht="15" hidden="false" customHeight="false" outlineLevel="0" collapsed="false">
      <c r="C240" s="539" t="s">
        <v>731</v>
      </c>
      <c r="D240" s="536" t="n">
        <v>1.12949</v>
      </c>
      <c r="G240" s="540" t="e">
        <f aca="false">D240*E240/F240</f>
        <v>#DIV/0!</v>
      </c>
      <c r="H240" s="0" t="e">
        <f aca="false">VLOOKUP(C240,'11.Region'!$B$22:$E$243,4,FALSE())</f>
        <v>#N/A</v>
      </c>
    </row>
    <row r="241" customFormat="false" ht="15" hidden="false" customHeight="false" outlineLevel="0" collapsed="false">
      <c r="C241" s="539" t="s">
        <v>732</v>
      </c>
      <c r="D241" s="536" t="n">
        <v>1.12949</v>
      </c>
      <c r="G241" s="540" t="e">
        <f aca="false">D241*E241/F241</f>
        <v>#DIV/0!</v>
      </c>
      <c r="H241" s="0" t="e">
        <f aca="false">VLOOKUP(C241,'11.Region'!$B$22:$E$243,4,FALSE())</f>
        <v>#N/A</v>
      </c>
    </row>
    <row r="242" customFormat="false" ht="15" hidden="false" customHeight="false" outlineLevel="0" collapsed="false">
      <c r="C242" s="539" t="s">
        <v>733</v>
      </c>
      <c r="D242" s="536" t="n">
        <v>1.12949</v>
      </c>
      <c r="G242" s="540" t="e">
        <f aca="false">D242*E242/F242</f>
        <v>#DIV/0!</v>
      </c>
      <c r="H242" s="0" t="e">
        <f aca="false">VLOOKUP(C242,'11.Region'!$B$22:$E$243,4,FALSE())</f>
        <v>#N/A</v>
      </c>
    </row>
    <row r="243" customFormat="false" ht="15" hidden="false" customHeight="false" outlineLevel="0" collapsed="false">
      <c r="C243" s="539" t="s">
        <v>734</v>
      </c>
      <c r="D243" s="536" t="n">
        <v>1.12949</v>
      </c>
      <c r="G243" s="540" t="e">
        <f aca="false">D243*E243/F243</f>
        <v>#DIV/0!</v>
      </c>
      <c r="H243" s="0" t="e">
        <f aca="false">VLOOKUP(C243,'11.Region'!$B$22:$E$243,4,FALSE())</f>
        <v>#N/A</v>
      </c>
    </row>
    <row r="244" customFormat="false" ht="15" hidden="false" customHeight="false" outlineLevel="0" collapsed="false">
      <c r="C244" s="539" t="s">
        <v>735</v>
      </c>
      <c r="D244" s="536" t="n">
        <v>1.12949</v>
      </c>
      <c r="G244" s="540" t="e">
        <f aca="false">D244*E244/F244</f>
        <v>#DIV/0!</v>
      </c>
      <c r="H244" s="0" t="e">
        <f aca="false">VLOOKUP(C244,'11.Region'!$B$22:$E$243,4,FALSE())</f>
        <v>#N/A</v>
      </c>
    </row>
    <row r="245" customFormat="false" ht="15" hidden="false" customHeight="false" outlineLevel="0" collapsed="false">
      <c r="C245" s="539" t="s">
        <v>736</v>
      </c>
      <c r="D245" s="536" t="n">
        <v>1.12949</v>
      </c>
      <c r="G245" s="540" t="e">
        <f aca="false">D245*E245/F245</f>
        <v>#DIV/0!</v>
      </c>
      <c r="H245" s="0" t="e">
        <f aca="false">VLOOKUP(C245,'11.Region'!$B$22:$E$243,4,FALSE())</f>
        <v>#N/A</v>
      </c>
    </row>
    <row r="246" customFormat="false" ht="15" hidden="false" customHeight="false" outlineLevel="0" collapsed="false">
      <c r="C246" s="539" t="s">
        <v>737</v>
      </c>
      <c r="D246" s="536" t="n">
        <v>1.12949</v>
      </c>
      <c r="G246" s="540" t="e">
        <f aca="false">D246*E246/F246</f>
        <v>#DIV/0!</v>
      </c>
      <c r="H246" s="0" t="e">
        <f aca="false">VLOOKUP(C246,'11.Region'!$B$22:$E$243,4,FALSE())</f>
        <v>#N/A</v>
      </c>
    </row>
    <row r="247" customFormat="false" ht="15" hidden="false" customHeight="false" outlineLevel="0" collapsed="false">
      <c r="C247" s="539" t="s">
        <v>738</v>
      </c>
      <c r="D247" s="536" t="n">
        <v>1.12949</v>
      </c>
      <c r="G247" s="540" t="e">
        <f aca="false">D247*E247/F247</f>
        <v>#DIV/0!</v>
      </c>
      <c r="H247" s="0" t="e">
        <f aca="false">VLOOKUP(C247,'11.Region'!$B$22:$E$243,4,FALSE())</f>
        <v>#N/A</v>
      </c>
    </row>
    <row r="248" customFormat="false" ht="15" hidden="false" customHeight="false" outlineLevel="0" collapsed="false">
      <c r="C248" s="539" t="s">
        <v>739</v>
      </c>
      <c r="D248" s="536" t="n">
        <v>1.12949</v>
      </c>
      <c r="G248" s="540" t="e">
        <f aca="false">D248*E248/F248</f>
        <v>#DIV/0!</v>
      </c>
      <c r="H248" s="0" t="e">
        <f aca="false">VLOOKUP(C248,'11.Region'!$B$22:$E$243,4,FALSE())</f>
        <v>#N/A</v>
      </c>
    </row>
    <row r="249" customFormat="false" ht="15" hidden="false" customHeight="false" outlineLevel="0" collapsed="false">
      <c r="C249" s="539" t="s">
        <v>740</v>
      </c>
      <c r="D249" s="536" t="n">
        <v>1.12949</v>
      </c>
      <c r="G249" s="540" t="e">
        <f aca="false">D249*E249/F249</f>
        <v>#DIV/0!</v>
      </c>
      <c r="H249" s="0" t="e">
        <f aca="false">VLOOKUP(C249,'11.Region'!$B$22:$E$243,4,FALSE())</f>
        <v>#N/A</v>
      </c>
    </row>
    <row r="250" customFormat="false" ht="15" hidden="false" customHeight="false" outlineLevel="0" collapsed="false">
      <c r="C250" s="539" t="s">
        <v>741</v>
      </c>
      <c r="D250" s="536" t="n">
        <v>1.12949</v>
      </c>
      <c r="G250" s="540" t="e">
        <f aca="false">D250*E250/F250</f>
        <v>#DIV/0!</v>
      </c>
      <c r="H250" s="0" t="e">
        <f aca="false">VLOOKUP(C250,'11.Region'!$B$22:$E$243,4,FALSE())</f>
        <v>#N/A</v>
      </c>
    </row>
    <row r="251" customFormat="false" ht="15" hidden="false" customHeight="false" outlineLevel="0" collapsed="false">
      <c r="C251" s="539" t="s">
        <v>742</v>
      </c>
      <c r="D251" s="536" t="n">
        <v>1.12949</v>
      </c>
      <c r="G251" s="540" t="e">
        <f aca="false">D251*E251/F251</f>
        <v>#DIV/0!</v>
      </c>
      <c r="H251" s="0" t="e">
        <f aca="false">VLOOKUP(C251,'11.Region'!$B$22:$E$243,4,FALSE())</f>
        <v>#N/A</v>
      </c>
    </row>
    <row r="252" customFormat="false" ht="15" hidden="false" customHeight="false" outlineLevel="0" collapsed="false">
      <c r="C252" s="539" t="s">
        <v>743</v>
      </c>
      <c r="D252" s="536" t="n">
        <v>1.12949</v>
      </c>
      <c r="G252" s="540" t="e">
        <f aca="false">D252*E252/F252</f>
        <v>#DIV/0!</v>
      </c>
      <c r="H252" s="0" t="e">
        <f aca="false">VLOOKUP(C252,'11.Region'!$B$22:$E$243,4,FALSE())</f>
        <v>#N/A</v>
      </c>
    </row>
    <row r="253" customFormat="false" ht="15" hidden="false" customHeight="false" outlineLevel="0" collapsed="false">
      <c r="C253" s="539" t="s">
        <v>744</v>
      </c>
      <c r="D253" s="536" t="n">
        <v>1.12949</v>
      </c>
      <c r="G253" s="540" t="e">
        <f aca="false">D253*E253/F253</f>
        <v>#DIV/0!</v>
      </c>
      <c r="H253" s="0" t="e">
        <f aca="false">VLOOKUP(C253,'11.Region'!$B$22:$E$243,4,FALSE())</f>
        <v>#N/A</v>
      </c>
    </row>
    <row r="254" customFormat="false" ht="15" hidden="false" customHeight="false" outlineLevel="0" collapsed="false">
      <c r="C254" s="539" t="s">
        <v>745</v>
      </c>
      <c r="D254" s="536" t="n">
        <v>1.12949</v>
      </c>
      <c r="G254" s="540" t="e">
        <f aca="false">D254*E254/F254</f>
        <v>#DIV/0!</v>
      </c>
      <c r="H254" s="0" t="e">
        <f aca="false">VLOOKUP(C254,'11.Region'!$B$22:$E$243,4,FALSE())</f>
        <v>#N/A</v>
      </c>
    </row>
    <row r="255" customFormat="false" ht="15" hidden="false" customHeight="false" outlineLevel="0" collapsed="false">
      <c r="C255" s="539" t="s">
        <v>746</v>
      </c>
      <c r="D255" s="536" t="n">
        <v>1.12949</v>
      </c>
      <c r="G255" s="540" t="e">
        <f aca="false">D255*E255/F255</f>
        <v>#DIV/0!</v>
      </c>
      <c r="H255" s="0" t="e">
        <f aca="false">VLOOKUP(C255,'11.Region'!$B$22:$E$243,4,FALSE())</f>
        <v>#N/A</v>
      </c>
    </row>
    <row r="256" customFormat="false" ht="15" hidden="false" customHeight="false" outlineLevel="0" collapsed="false">
      <c r="C256" s="539" t="s">
        <v>747</v>
      </c>
      <c r="D256" s="536" t="n">
        <v>1.12949</v>
      </c>
      <c r="G256" s="540" t="e">
        <f aca="false">D256*E256/F256</f>
        <v>#DIV/0!</v>
      </c>
      <c r="H256" s="0" t="e">
        <f aca="false">VLOOKUP(C256,'11.Region'!$B$22:$E$243,4,FALSE())</f>
        <v>#N/A</v>
      </c>
    </row>
    <row r="257" customFormat="false" ht="15" hidden="false" customHeight="false" outlineLevel="0" collapsed="false">
      <c r="C257" s="539" t="s">
        <v>748</v>
      </c>
      <c r="D257" s="536" t="n">
        <v>1.12949</v>
      </c>
      <c r="G257" s="540" t="e">
        <f aca="false">D257*E257/F257</f>
        <v>#DIV/0!</v>
      </c>
      <c r="H257" s="0" t="e">
        <f aca="false">VLOOKUP(C257,'11.Region'!$B$22:$E$243,4,FALSE())</f>
        <v>#N/A</v>
      </c>
    </row>
    <row r="258" customFormat="false" ht="15" hidden="false" customHeight="false" outlineLevel="0" collapsed="false">
      <c r="C258" s="539" t="s">
        <v>749</v>
      </c>
      <c r="D258" s="536" t="n">
        <v>1.12949</v>
      </c>
      <c r="G258" s="540" t="e">
        <f aca="false">D258*E258/F258</f>
        <v>#DIV/0!</v>
      </c>
      <c r="H258" s="0" t="e">
        <f aca="false">VLOOKUP(C258,'11.Region'!$B$22:$E$243,4,FALSE())</f>
        <v>#N/A</v>
      </c>
    </row>
    <row r="259" customFormat="false" ht="15" hidden="false" customHeight="false" outlineLevel="0" collapsed="false">
      <c r="C259" s="539" t="s">
        <v>750</v>
      </c>
      <c r="D259" s="536" t="n">
        <v>1.12949</v>
      </c>
      <c r="G259" s="540" t="e">
        <f aca="false">D259*E259/F259</f>
        <v>#DIV/0!</v>
      </c>
      <c r="H259" s="0" t="e">
        <f aca="false">VLOOKUP(C259,'11.Region'!$B$22:$E$243,4,FALSE())</f>
        <v>#N/A</v>
      </c>
    </row>
    <row r="260" customFormat="false" ht="15" hidden="false" customHeight="false" outlineLevel="0" collapsed="false">
      <c r="C260" s="539" t="s">
        <v>751</v>
      </c>
      <c r="D260" s="536" t="n">
        <v>1.12949</v>
      </c>
      <c r="G260" s="540" t="e">
        <f aca="false">D260*E260/F260</f>
        <v>#DIV/0!</v>
      </c>
      <c r="H260" s="0" t="e">
        <f aca="false">VLOOKUP(C260,'11.Region'!$B$22:$E$243,4,FALSE())</f>
        <v>#N/A</v>
      </c>
    </row>
    <row r="261" customFormat="false" ht="15" hidden="false" customHeight="false" outlineLevel="0" collapsed="false">
      <c r="C261" s="539" t="s">
        <v>752</v>
      </c>
      <c r="D261" s="536" t="n">
        <v>1.12949</v>
      </c>
      <c r="G261" s="540" t="e">
        <f aca="false">D261*E261/F261</f>
        <v>#DIV/0!</v>
      </c>
      <c r="H261" s="0" t="e">
        <f aca="false">VLOOKUP(C261,'11.Region'!$B$22:$E$243,4,FALSE())</f>
        <v>#N/A</v>
      </c>
    </row>
    <row r="262" customFormat="false" ht="15" hidden="false" customHeight="false" outlineLevel="0" collapsed="false">
      <c r="C262" s="539" t="s">
        <v>753</v>
      </c>
      <c r="D262" s="536" t="n">
        <v>1.12949</v>
      </c>
      <c r="G262" s="540" t="e">
        <f aca="false">D262*E262/F262</f>
        <v>#DIV/0!</v>
      </c>
      <c r="H262" s="0" t="e">
        <f aca="false">VLOOKUP(C262,'11.Region'!$B$22:$E$243,4,FALSE())</f>
        <v>#N/A</v>
      </c>
    </row>
    <row r="263" customFormat="false" ht="15" hidden="false" customHeight="false" outlineLevel="0" collapsed="false">
      <c r="C263" s="539" t="s">
        <v>754</v>
      </c>
      <c r="D263" s="536" t="n">
        <v>1.12949</v>
      </c>
      <c r="G263" s="540" t="e">
        <f aca="false">D263*E263/F263</f>
        <v>#DIV/0!</v>
      </c>
      <c r="H263" s="0" t="e">
        <f aca="false">VLOOKUP(C263,'11.Region'!$B$22:$E$243,4,FALSE())</f>
        <v>#N/A</v>
      </c>
    </row>
    <row r="264" customFormat="false" ht="15" hidden="false" customHeight="false" outlineLevel="0" collapsed="false">
      <c r="C264" s="539" t="s">
        <v>755</v>
      </c>
      <c r="D264" s="536" t="n">
        <v>1.12949</v>
      </c>
      <c r="G264" s="540" t="e">
        <f aca="false">D264*E264/F264</f>
        <v>#DIV/0!</v>
      </c>
      <c r="H264" s="0" t="e">
        <f aca="false">VLOOKUP(C264,'11.Region'!$B$22:$E$243,4,FALSE())</f>
        <v>#N/A</v>
      </c>
    </row>
    <row r="265" customFormat="false" ht="15" hidden="false" customHeight="false" outlineLevel="0" collapsed="false">
      <c r="C265" s="539" t="s">
        <v>756</v>
      </c>
      <c r="D265" s="536" t="n">
        <v>1.12949</v>
      </c>
      <c r="G265" s="540" t="e">
        <f aca="false">D265*E265/F265</f>
        <v>#DIV/0!</v>
      </c>
      <c r="H265" s="0" t="e">
        <f aca="false">VLOOKUP(C265,'11.Region'!$B$22:$E$243,4,FALSE())</f>
        <v>#N/A</v>
      </c>
    </row>
    <row r="266" customFormat="false" ht="15" hidden="false" customHeight="false" outlineLevel="0" collapsed="false">
      <c r="C266" s="539" t="s">
        <v>704</v>
      </c>
      <c r="D266" s="536" t="n">
        <v>1.12949</v>
      </c>
      <c r="G266" s="540" t="e">
        <f aca="false">D266*E266/F266</f>
        <v>#DIV/0!</v>
      </c>
      <c r="H266" s="0" t="e">
        <f aca="false">VLOOKUP(C266,'11.Region'!$B$22:$E$243,4,FALSE())</f>
        <v>#N/A</v>
      </c>
    </row>
    <row r="267" customFormat="false" ht="15" hidden="false" customHeight="false" outlineLevel="0" collapsed="false">
      <c r="G267" s="540"/>
    </row>
    <row r="268" customFormat="false" ht="15" hidden="false" customHeight="false" outlineLevel="0" collapsed="false">
      <c r="G268" s="540"/>
    </row>
    <row r="269" customFormat="false" ht="15" hidden="false" customHeight="false" outlineLevel="0" collapsed="false">
      <c r="G269" s="540"/>
    </row>
    <row r="270" customFormat="false" ht="15" hidden="false" customHeight="false" outlineLevel="0" collapsed="false">
      <c r="G270" s="540"/>
    </row>
    <row r="271" customFormat="false" ht="15" hidden="false" customHeight="false" outlineLevel="0" collapsed="false">
      <c r="G271" s="540"/>
    </row>
    <row r="272" customFormat="false" ht="15" hidden="false" customHeight="false" outlineLevel="0" collapsed="false">
      <c r="G272" s="540"/>
    </row>
    <row r="273" customFormat="false" ht="15" hidden="false" customHeight="false" outlineLevel="0" collapsed="false">
      <c r="G273" s="540"/>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1723"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48" width="10.29"/>
    <col collapsed="false" customWidth="true" hidden="false" outlineLevel="0" max="2" min="2" style="548" width="27.31"/>
    <col collapsed="false" customWidth="false" hidden="false" outlineLevel="0" max="3" min="3" style="548" width="10.29"/>
    <col collapsed="false" customWidth="true" hidden="false" outlineLevel="0" max="4" min="4" style="548" width="56.7"/>
    <col collapsed="false" customWidth="true" hidden="false" outlineLevel="0" max="5" min="5" style="548" width="43"/>
    <col collapsed="false" customWidth="true" hidden="false" outlineLevel="0" max="6" min="6" style="549" width="43"/>
    <col collapsed="false" customWidth="true" hidden="false" outlineLevel="0" max="11" min="7" style="548" width="43"/>
    <col collapsed="false" customWidth="false" hidden="false" outlineLevel="0" max="12" min="12" style="548" width="10.29"/>
    <col collapsed="false" customWidth="false" hidden="false" outlineLevel="0" max="13" min="13" style="550" width="10.29"/>
    <col collapsed="false" customWidth="false" hidden="false" outlineLevel="0" max="1024" min="14" style="548" width="10.29"/>
  </cols>
  <sheetData>
    <row r="1" customFormat="false" ht="20.1" hidden="false" customHeight="true" outlineLevel="0" collapsed="false">
      <c r="C1" s="551" t="n">
        <f aca="false">VLOOKUP('0. Intro'!B1,'12.lan'!B2:C12,2,FALSE())</f>
        <v>3</v>
      </c>
      <c r="D1" s="552" t="n">
        <f aca="false">HLOOKUP($C$1,$E$1:$X$4910,ROW(D1))</f>
        <v>3</v>
      </c>
      <c r="E1" s="548" t="n">
        <v>1</v>
      </c>
      <c r="F1" s="549" t="n">
        <v>2</v>
      </c>
      <c r="G1" s="548" t="n">
        <v>3</v>
      </c>
      <c r="H1" s="548" t="n">
        <v>4</v>
      </c>
      <c r="I1" s="548" t="n">
        <v>5</v>
      </c>
      <c r="J1" s="548" t="n">
        <v>6</v>
      </c>
      <c r="K1" s="548" t="n">
        <v>7</v>
      </c>
    </row>
    <row r="2" customFormat="false" ht="14.1" hidden="false" customHeight="true" outlineLevel="0" collapsed="false">
      <c r="A2" s="548" t="n">
        <v>3</v>
      </c>
      <c r="B2" s="548" t="s">
        <v>0</v>
      </c>
      <c r="C2" s="548" t="n">
        <f aca="false">A2</f>
        <v>3</v>
      </c>
      <c r="D2" s="552" t="str">
        <f aca="false">HLOOKUP($C$1,$E$1:$X$4910,ROW(D2))</f>
        <v>English</v>
      </c>
      <c r="E2" s="553" t="s">
        <v>757</v>
      </c>
      <c r="F2" s="553" t="s">
        <v>758</v>
      </c>
      <c r="G2" s="554" t="s">
        <v>759</v>
      </c>
      <c r="H2" s="555" t="s">
        <v>760</v>
      </c>
      <c r="I2" s="553" t="s">
        <v>761</v>
      </c>
      <c r="J2" s="553" t="s">
        <v>762</v>
      </c>
      <c r="K2" s="553" t="s">
        <v>763</v>
      </c>
    </row>
    <row r="3" customFormat="false" ht="14.1" hidden="false" customHeight="true" outlineLevel="0" collapsed="false">
      <c r="A3" s="548" t="n">
        <v>1</v>
      </c>
      <c r="B3" s="549" t="s">
        <v>757</v>
      </c>
      <c r="C3" s="548" t="n">
        <f aca="false">A3</f>
        <v>1</v>
      </c>
      <c r="D3" s="552" t="n">
        <f aca="false">HLOOKUP($C$1,$E$1:$X$4910,ROW(D3))</f>
        <v>0</v>
      </c>
      <c r="E3" s="549"/>
      <c r="G3" s="556"/>
      <c r="H3" s="549"/>
      <c r="I3" s="549"/>
      <c r="J3" s="549"/>
    </row>
    <row r="4" customFormat="false" ht="15.75" hidden="false" customHeight="true" outlineLevel="0" collapsed="false">
      <c r="A4" s="548" t="n">
        <v>2</v>
      </c>
      <c r="B4" s="549" t="s">
        <v>758</v>
      </c>
      <c r="C4" s="548" t="n">
        <f aca="false">A4</f>
        <v>2</v>
      </c>
      <c r="D4" s="552" t="str">
        <f aca="false">HLOOKUP($C$1,$E$1:$X$4910,ROW(D4))</f>
        <v>BALANCE SHEET CALCULATOR</v>
      </c>
      <c r="E4" s="549" t="s">
        <v>764</v>
      </c>
      <c r="F4" s="557" t="s">
        <v>765</v>
      </c>
      <c r="G4" s="556" t="s">
        <v>766</v>
      </c>
      <c r="H4" s="549" t="s">
        <v>767</v>
      </c>
      <c r="I4" s="549" t="str">
        <f aca="false">"[fr]"&amp;E4</f>
        <v>[fr]GEMEINWOHL-RECHNER</v>
      </c>
      <c r="J4" s="549" t="str">
        <f aca="false">"[pt]"&amp;E4</f>
        <v>[pt]GEMEINWOHL-RECHNER</v>
      </c>
      <c r="K4" s="549" t="str">
        <f aca="false">"[gr]"&amp;E4</f>
        <v>[gr]GEMEINWOHL-RECHNER</v>
      </c>
    </row>
    <row r="5" customFormat="false" ht="15.75" hidden="false" customHeight="true" outlineLevel="0" collapsed="false">
      <c r="A5" s="548" t="n">
        <v>3</v>
      </c>
      <c r="B5" s="549" t="s">
        <v>759</v>
      </c>
      <c r="C5" s="548" t="n">
        <f aca="false">A5</f>
        <v>3</v>
      </c>
      <c r="D5" s="552" t="str">
        <f aca="false">HLOOKUP($C$1,$E$1:$X$4910,ROW(D5))</f>
        <v>© ECG</v>
      </c>
      <c r="E5" s="549" t="s">
        <v>768</v>
      </c>
      <c r="F5" s="557" t="s">
        <v>769</v>
      </c>
      <c r="G5" s="556" t="s">
        <v>770</v>
      </c>
      <c r="H5" s="549" t="s">
        <v>771</v>
      </c>
      <c r="I5" s="549" t="str">
        <f aca="false">"[fr]"&amp;E5</f>
        <v>[fr]© GWÖ</v>
      </c>
      <c r="J5" s="549" t="str">
        <f aca="false">"[pt]"&amp;E5</f>
        <v>[pt]© GWÖ</v>
      </c>
      <c r="K5" s="549" t="str">
        <f aca="false">"[gr]"&amp;E5</f>
        <v>[gr]© GWÖ</v>
      </c>
    </row>
    <row r="6" customFormat="false" ht="15.75" hidden="false" customHeight="true" outlineLevel="0" collapsed="false">
      <c r="A6" s="548" t="n">
        <v>4</v>
      </c>
      <c r="B6" s="555" t="s">
        <v>760</v>
      </c>
      <c r="C6" s="548" t="n">
        <f aca="false">A6</f>
        <v>4</v>
      </c>
      <c r="D6" s="552" t="str">
        <f aca="false">HLOOKUP($C$1,$E$1:$X$4910,ROW(D6))</f>
        <v>Version</v>
      </c>
      <c r="E6" s="558" t="s">
        <v>772</v>
      </c>
      <c r="F6" s="558" t="s">
        <v>773</v>
      </c>
      <c r="G6" s="559" t="s">
        <v>772</v>
      </c>
      <c r="H6" s="549" t="s">
        <v>774</v>
      </c>
      <c r="I6" s="549" t="str">
        <f aca="false">"[fr]"&amp;E6</f>
        <v>[fr]Version</v>
      </c>
      <c r="J6" s="549" t="s">
        <v>775</v>
      </c>
      <c r="K6" s="549" t="str">
        <f aca="false">"[gr]"&amp;E6</f>
        <v>[gr]Version</v>
      </c>
    </row>
    <row r="7" customFormat="false" ht="15.75" hidden="false" customHeight="true" outlineLevel="0" collapsed="false">
      <c r="A7" s="548" t="n">
        <v>5</v>
      </c>
      <c r="B7" s="549" t="s">
        <v>761</v>
      </c>
      <c r="C7" s="548" t="n">
        <f aca="false">A7</f>
        <v>5</v>
      </c>
      <c r="D7" s="552" t="str">
        <f aca="false">HLOOKUP($C$1,$E$1:$X$4910,ROW(D7))</f>
        <v>WELCOME!</v>
      </c>
      <c r="E7" s="557" t="s">
        <v>776</v>
      </c>
      <c r="F7" s="557" t="s">
        <v>777</v>
      </c>
      <c r="G7" s="560" t="s">
        <v>778</v>
      </c>
      <c r="H7" s="549" t="s">
        <v>779</v>
      </c>
      <c r="I7" s="549" t="str">
        <f aca="false">"[fr]"&amp;E7</f>
        <v>[fr]HERZLICH WILLKOMMEN!</v>
      </c>
      <c r="J7" s="549" t="str">
        <f aca="false">"[pt]"&amp;E7</f>
        <v>[pt]HERZLICH WILLKOMMEN!</v>
      </c>
      <c r="K7" s="549" t="str">
        <f aca="false">"[gr]"&amp;E7</f>
        <v>[gr]HERZLICH WILLKOMMEN!</v>
      </c>
    </row>
    <row r="8" customFormat="false" ht="81.6" hidden="false" customHeight="true" outlineLevel="0" collapsed="false">
      <c r="A8" s="548" t="n">
        <v>6</v>
      </c>
      <c r="B8" s="549" t="s">
        <v>762</v>
      </c>
      <c r="C8" s="548" t="n">
        <f aca="false">A8</f>
        <v>6</v>
      </c>
      <c r="D8" s="552" t="str">
        <f aca="false">HLOOKUP($C$1,$E$1:$X$4910,ROW(D8))</f>
        <v>This tool is for calculating the overall Common Good Points for your company or organisation. It complements the Common Good Report and has to be used together with it. Have fun with your calculation!</v>
      </c>
      <c r="E8" s="549" t="s">
        <v>780</v>
      </c>
      <c r="F8" s="549" t="s">
        <v>781</v>
      </c>
      <c r="G8" s="561" t="s">
        <v>782</v>
      </c>
      <c r="H8" s="549" t="s">
        <v>783</v>
      </c>
      <c r="I8" s="549" t="str">
        <f aca="false">"[fr]"&amp;E8</f>
        <v>[fr]Dieses Tool dient zur Berechnung der Gemeinwohl-Punkte Ihres Unternehmens. Es ist eine Ergänzung zum Gemeinwohlbericht und muss gemeinsam mit diesem genutzt werden.  Wir wünschen gutes Gelingen!</v>
      </c>
      <c r="J8" s="549" t="str">
        <f aca="false">"[pt]"&amp;E8</f>
        <v>[pt]Dieses Tool dient zur Berechnung der Gemeinwohl-Punkte Ihres Unternehmens. Es ist eine Ergänzung zum Gemeinwohlbericht und muss gemeinsam mit diesem genutzt werden.  Wir wünschen gutes Gelingen!</v>
      </c>
      <c r="K8" s="549"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48" t="n">
        <v>7</v>
      </c>
      <c r="B9" s="549" t="s">
        <v>763</v>
      </c>
      <c r="C9" s="548" t="n">
        <f aca="false">A9</f>
        <v>7</v>
      </c>
      <c r="D9" s="552" t="str">
        <f aca="false">HLOOKUP($C$1,$E$1:$X$4910,ROW(D9))</f>
        <v>HOW TO USE THE BALANCE SHEET CALCULATOR:</v>
      </c>
      <c r="E9" s="549" t="s">
        <v>784</v>
      </c>
      <c r="F9" s="549" t="s">
        <v>785</v>
      </c>
      <c r="G9" s="556" t="s">
        <v>786</v>
      </c>
      <c r="H9" s="549" t="s">
        <v>787</v>
      </c>
      <c r="I9" s="549" t="str">
        <f aca="false">"[fr]"&amp;E9</f>
        <v>[fr]WIE SIE DEN BILANZ-RECHNER RICHTIG VERWENDEN:</v>
      </c>
      <c r="J9" s="549" t="str">
        <f aca="false">"[pt]"&amp;E9</f>
        <v>[pt]WIE SIE DEN BILANZ-RECHNER RICHTIG VERWENDEN:</v>
      </c>
      <c r="K9" s="549" t="str">
        <f aca="false">"[gr]"&amp;E9</f>
        <v>[gr]WIE SIE DEN BILANZ-RECHNER RICHTIG VERWENDEN:</v>
      </c>
    </row>
    <row r="10" customFormat="false" ht="15.75" hidden="false" customHeight="true" outlineLevel="0" collapsed="false">
      <c r="A10" s="548" t="n">
        <v>8</v>
      </c>
      <c r="B10" s="549"/>
      <c r="C10" s="548" t="n">
        <f aca="false">A10</f>
        <v>8</v>
      </c>
      <c r="D10" s="552" t="str">
        <f aca="false">HLOOKUP($C$1,$E$1:$X$4910,ROW(D10))</f>
        <v>1. General</v>
      </c>
      <c r="E10" s="549" t="s">
        <v>788</v>
      </c>
      <c r="F10" s="557" t="s">
        <v>789</v>
      </c>
      <c r="G10" s="556" t="s">
        <v>790</v>
      </c>
      <c r="H10" s="549" t="s">
        <v>790</v>
      </c>
      <c r="I10" s="549" t="str">
        <f aca="false">"[fr]"&amp;E10</f>
        <v>[fr]1. Allgemeines</v>
      </c>
      <c r="J10" s="549" t="str">
        <f aca="false">"[pt]"&amp;E10</f>
        <v>[pt]1. Allgemeines</v>
      </c>
      <c r="K10" s="549" t="str">
        <f aca="false">"[gr]"&amp;E10</f>
        <v>[gr]1. Allgemeines</v>
      </c>
    </row>
    <row r="11" customFormat="false" ht="28.5" hidden="false" customHeight="true" outlineLevel="0" collapsed="false">
      <c r="A11" s="548" t="n">
        <v>9</v>
      </c>
      <c r="B11" s="549"/>
      <c r="C11" s="548" t="n">
        <f aca="false">A11</f>
        <v>9</v>
      </c>
      <c r="D11" s="552" t="str">
        <f aca="false">HLOOKUP($C$1,$E$1:$X$4910,ROW(D11))</f>
        <v>You can enter general information about your company or organisation in this section.</v>
      </c>
      <c r="E11" s="549" t="s">
        <v>791</v>
      </c>
      <c r="F11" s="549" t="s">
        <v>792</v>
      </c>
      <c r="G11" s="556" t="s">
        <v>793</v>
      </c>
      <c r="H11" s="549" t="s">
        <v>794</v>
      </c>
      <c r="I11" s="549" t="str">
        <f aca="false">"[fr]"&amp;E11</f>
        <v>[fr]Hier können Sie allgemeinen Angaben zu Ihrem Unternehmen machen.</v>
      </c>
      <c r="J11" s="549" t="str">
        <f aca="false">"[pt]"&amp;E11</f>
        <v>[pt]Hier können Sie allgemeinen Angaben zu Ihrem Unternehmen machen.</v>
      </c>
      <c r="K11" s="549" t="str">
        <f aca="false">"[gr]"&amp;E11</f>
        <v>[gr]Hier können Sie allgemeinen Angaben zu Ihrem Unternehmen machen.</v>
      </c>
    </row>
    <row r="12" customFormat="false" ht="41.85" hidden="false" customHeight="true" outlineLevel="0" collapsed="false">
      <c r="A12" s="548" t="n">
        <v>10</v>
      </c>
      <c r="B12" s="549"/>
      <c r="C12" s="548" t="n">
        <f aca="false">A12</f>
        <v>10</v>
      </c>
      <c r="D12" s="552" t="str">
        <f aca="false">HLOOKUP($C$1,$E$1:$X$4910,ROW(D12))</f>
        <v>All fields in this section must be completed as they are essential for the weighting of each theme.</v>
      </c>
      <c r="E12" s="549" t="s">
        <v>795</v>
      </c>
      <c r="F12" s="549" t="s">
        <v>796</v>
      </c>
      <c r="G12" s="556" t="s">
        <v>797</v>
      </c>
      <c r="H12" s="549" t="s">
        <v>798</v>
      </c>
      <c r="I12" s="549" t="str">
        <f aca="false">"[fr]"&amp;E12</f>
        <v>[fr]Hier müssen alle geforderten Kenngrößen eingetragen werden, da diese für die Gewichtung der Themen essentiell sind.</v>
      </c>
      <c r="J12" s="549" t="str">
        <f aca="false">"[pt]"&amp;E12</f>
        <v>[pt]Hier müssen alle geforderten Kenngrößen eingetragen werden, da diese für die Gewichtung der Themen essentiell sind.</v>
      </c>
      <c r="K12" s="549" t="str">
        <f aca="false">"[gr]"&amp;E12</f>
        <v>[gr]Hier müssen alle geforderten Kenngrößen eingetragen werden, da diese für die Gewichtung der Themen essentiell sind.</v>
      </c>
    </row>
    <row r="13" customFormat="false" ht="54.75" hidden="false" customHeight="true" outlineLevel="0" collapsed="false">
      <c r="A13" s="548" t="n">
        <v>11</v>
      </c>
      <c r="B13" s="549"/>
      <c r="C13" s="562"/>
      <c r="D13" s="552" t="str">
        <f aca="false">HLOOKUP($C$1,$E$1:$X$4910,ROW(D13))</f>
        <v>For each theme (A1, B1, ...) a certain maximum number of Common Good Points can be achieved. To evaluate how many points your company scores, follow these steps:</v>
      </c>
      <c r="E13" s="549" t="s">
        <v>799</v>
      </c>
      <c r="F13" s="549" t="s">
        <v>800</v>
      </c>
      <c r="G13" s="556" t="s">
        <v>801</v>
      </c>
      <c r="H13" s="549" t="s">
        <v>802</v>
      </c>
      <c r="I13" s="549" t="str">
        <f aca="false">"[fr]"&amp;E13</f>
        <v>[fr]Für jedes Thema (A1, B1, ...) kann eine bestimmte Anzahl an Gemeinwohl-Punkten erreicht werden. Um zu ermitteln, wie viele davon Ihr Unternehmen erhält, gehen Sie wie folgt vor:</v>
      </c>
      <c r="J13" s="549" t="str">
        <f aca="false">"[pt]"&amp;E13</f>
        <v>[pt]Für jedes Thema (A1, B1, ...) kann eine bestimmte Anzahl an Gemeinwohl-Punkten erreicht werden. Um zu ermitteln, wie viele davon Ihr Unternehmen erhält, gehen Sie wie folgt vor:</v>
      </c>
      <c r="K13" s="549"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48" t="n">
        <v>12</v>
      </c>
      <c r="B14" s="549"/>
      <c r="C14" s="562"/>
      <c r="D14" s="552" t="str">
        <f aca="false">HLOOKUP($C$1,$E$1:$X$4910,ROW(D14))</f>
        <v>Describe the current status and potential for improvement for the various aspects under key headings. Use the workbook as a reference. (This is optional and not absolutely necessary for the calculation.)</v>
      </c>
      <c r="E14" s="563" t="s">
        <v>803</v>
      </c>
      <c r="F14" s="549" t="s">
        <v>804</v>
      </c>
      <c r="G14" s="556" t="s">
        <v>805</v>
      </c>
      <c r="H14" s="549" t="s">
        <v>806</v>
      </c>
      <c r="I14" s="549" t="str">
        <f aca="false">"[fr]"&amp;E14</f>
        <v>[fr]Beschreiben Sie auf Basis des Arbeitsbuchs in wenigen Stichworten Ist-Zustand und Verbesserungspotenzial für die verschiedenen Aspekte (optional, ist für die Berechnung nicht unbedingt notwendig).</v>
      </c>
      <c r="J14" s="549" t="str">
        <f aca="false">"[pt]"&amp;E14</f>
        <v>[pt]Beschreiben Sie auf Basis des Arbeitsbuchs in wenigen Stichworten Ist-Zustand und Verbesserungspotenzial für die verschiedenen Aspekte (optional, ist für die Berechnung nicht unbedingt notwendig).</v>
      </c>
      <c r="K14" s="549"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48" t="n">
        <v>13</v>
      </c>
      <c r="B15" s="549"/>
      <c r="C15" s="562"/>
      <c r="D15" s="552" t="str">
        <f aca="false">HLOOKUP($C$1,$E$1:$X$4910,ROW(D15))</f>
        <v>Based on these descriptions, indicate on a scale of 0-10 how far you consider the respective aspect is met (Achievement level). The criteria for choosing the correct value can be found in the Workbook.</v>
      </c>
      <c r="E15" s="564" t="s">
        <v>807</v>
      </c>
      <c r="F15" s="549" t="s">
        <v>808</v>
      </c>
      <c r="G15" s="556" t="s">
        <v>809</v>
      </c>
      <c r="H15" s="549" t="s">
        <v>810</v>
      </c>
      <c r="I15" s="549"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49"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49"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48" t="n">
        <v>14</v>
      </c>
      <c r="B16" s="549"/>
      <c r="C16" s="562"/>
      <c r="D16" s="552" t="str">
        <f aca="false">HLOOKUP($C$1,$E$1:$X$4910,ROW(D16))</f>
        <v>Negative aspects are allocated negative points according to the descriptions set out in the Workbook.</v>
      </c>
      <c r="E16" s="549" t="s">
        <v>811</v>
      </c>
      <c r="F16" s="549" t="s">
        <v>812</v>
      </c>
      <c r="G16" s="556" t="s">
        <v>813</v>
      </c>
      <c r="H16" s="549" t="s">
        <v>814</v>
      </c>
      <c r="I16" s="549" t="str">
        <f aca="false">"[fr]"&amp;E16</f>
        <v>[fr]Für die Bewertung der Negativaspekte geben Sie Punktewerte entsprechend der Beschreibungen im Arbeitsbuch an.</v>
      </c>
      <c r="J16" s="549" t="str">
        <f aca="false">"[pt]"&amp;E16</f>
        <v>[pt]Für die Bewertung der Negativaspekte geben Sie Punktewerte entsprechend der Beschreibungen im Arbeitsbuch an.</v>
      </c>
      <c r="K16" s="549" t="str">
        <f aca="false">"[gr]"&amp;E16</f>
        <v>[gr]Für die Bewertung der Negativaspekte geben Sie Punktewerte entsprechend der Beschreibungen im Arbeitsbuch an.</v>
      </c>
    </row>
    <row r="17" customFormat="false" ht="124.5" hidden="false" customHeight="true" outlineLevel="0" collapsed="false">
      <c r="A17" s="548" t="n">
        <v>15</v>
      </c>
      <c r="B17" s="549"/>
      <c r="C17" s="562"/>
      <c r="D17" s="552"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65" t="s">
        <v>815</v>
      </c>
      <c r="F17" s="549" t="s">
        <v>816</v>
      </c>
      <c r="G17" s="556" t="s">
        <v>817</v>
      </c>
      <c r="H17" s="549" t="s">
        <v>818</v>
      </c>
      <c r="I17" s="549"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49"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49"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48" t="n">
        <v>16</v>
      </c>
      <c r="B18" s="549"/>
      <c r="C18" s="562"/>
      <c r="D18" s="552" t="str">
        <f aca="false">HLOOKUP($C$1,$E$1:$X$4910,ROW(D18))</f>
        <v>The calculation automatically weights each theme’s total value against the data in the ‘Company details’ section and rounds it to a whole-number multiple of 10%.</v>
      </c>
      <c r="E18" s="549" t="s">
        <v>819</v>
      </c>
      <c r="F18" s="549" t="s">
        <v>820</v>
      </c>
      <c r="G18" s="556" t="s">
        <v>821</v>
      </c>
      <c r="H18" s="549" t="s">
        <v>822</v>
      </c>
      <c r="I18" s="549" t="str">
        <f aca="false">"[fr]"&amp;E18</f>
        <v>[fr]Bei der Berechnung werden die Gesamtwerte pro Thema automatisch entsprechend der Angaben im Faktenblatt gewichtet und auf ganzzahlige Vielfache von 10% gerundet.</v>
      </c>
      <c r="J18" s="549" t="str">
        <f aca="false">"[pt]"&amp;E18</f>
        <v>[pt]Bei der Berechnung werden die Gesamtwerte pro Thema automatisch entsprechend der Angaben im Faktenblatt gewichtet und auf ganzzahlige Vielfache von 10% gerundet.</v>
      </c>
      <c r="K18" s="549"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49"/>
      <c r="C19" s="562"/>
      <c r="D19" s="552" t="str">
        <f aca="false">HLOOKUP($C$1,$E$1:$X$4910,ROW(D19))</f>
        <v>The ECG-Matrix displays your result in a table.</v>
      </c>
      <c r="E19" s="549" t="s">
        <v>823</v>
      </c>
      <c r="F19" s="549" t="s">
        <v>824</v>
      </c>
      <c r="G19" s="556" t="s">
        <v>825</v>
      </c>
      <c r="H19" s="549" t="s">
        <v>826</v>
      </c>
      <c r="I19" s="549" t="str">
        <f aca="false">"[fr]"&amp;E19</f>
        <v>[fr]Die "GW-Matrix" bietet einen tabellarischen Überblick über Ihr Ergebnis.</v>
      </c>
      <c r="J19" s="549" t="str">
        <f aca="false">"[pt]"&amp;E19</f>
        <v>[pt]Die "GW-Matrix" bietet einen tabellarischen Überblick über Ihr Ergebnis.</v>
      </c>
      <c r="K19" s="549" t="str">
        <f aca="false">"[gr]"&amp;E19</f>
        <v>[gr]Die "GW-Matrix" bietet einen tabellarischen Überblick über Ihr Ergebnis.</v>
      </c>
    </row>
    <row r="20" customFormat="false" ht="41.85" hidden="false" customHeight="true" outlineLevel="0" collapsed="false">
      <c r="B20" s="562"/>
      <c r="C20" s="562"/>
      <c r="D20" s="552" t="str">
        <f aca="false">HLOOKUP($C$1,$E$1:$X$4910,ROW(D20))</f>
        <v>The ECG Matrix displays your result in a table.</v>
      </c>
      <c r="E20" s="549" t="s">
        <v>827</v>
      </c>
      <c r="F20" s="549" t="s">
        <v>828</v>
      </c>
      <c r="G20" s="556" t="s">
        <v>829</v>
      </c>
      <c r="H20" s="549" t="s">
        <v>830</v>
      </c>
      <c r="I20" s="549" t="str">
        <f aca="false">"[fr]"&amp;E20</f>
        <v>[fr]Die "GW-Matrix" bietet einen tabellarischen Blick auf Ihr Ergebnis.</v>
      </c>
      <c r="J20" s="549" t="str">
        <f aca="false">"[pt]"&amp;E20</f>
        <v>[pt]Die "GW-Matrix" bietet einen tabellarischen Blick auf Ihr Ergebnis.</v>
      </c>
      <c r="K20" s="549" t="str">
        <f aca="false">"[gr]"&amp;E20</f>
        <v>[gr]Die "GW-Matrix" bietet einen tabellarischen Blick auf Ihr Ergebnis.</v>
      </c>
    </row>
    <row r="21" customFormat="false" ht="41.85" hidden="false" customHeight="true" outlineLevel="0" collapsed="false">
      <c r="B21" s="562"/>
      <c r="C21" s="562"/>
      <c r="D21" s="552" t="str">
        <f aca="false">HLOOKUP($C$1,$E$1:$X$4910,ROW(D21))</f>
        <v>The values-star displays your result arranged by value as a graphic.</v>
      </c>
      <c r="E21" s="549" t="s">
        <v>831</v>
      </c>
      <c r="F21" s="549" t="s">
        <v>832</v>
      </c>
      <c r="G21" s="556" t="s">
        <v>833</v>
      </c>
      <c r="H21" s="549" t="s">
        <v>834</v>
      </c>
      <c r="I21" s="549" t="str">
        <f aca="false">"[fr]"&amp;E21</f>
        <v>[fr]Der "Werte-Stern" zeigt schließlich Ihr Ergebnis nach Werten gegliedert in graphischer Form.</v>
      </c>
      <c r="J21" s="549" t="str">
        <f aca="false">"[pt]"&amp;E21</f>
        <v>[pt]Der "Werte-Stern" zeigt schließlich Ihr Ergebnis nach Werten gegliedert in graphischer Form.</v>
      </c>
      <c r="K21" s="549" t="str">
        <f aca="false">"[gr]"&amp;E21</f>
        <v>[gr]Der "Werte-Stern" zeigt schließlich Ihr Ergebnis nach Werten gegliedert in graphischer Form.</v>
      </c>
    </row>
    <row r="22" customFormat="false" ht="41.85" hidden="false" customHeight="true" outlineLevel="0" collapsed="false">
      <c r="B22" s="562"/>
      <c r="C22" s="562"/>
      <c r="D22" s="552" t="str">
        <f aca="false">HLOOKUP($C$1,$E$1:$X$4910,ROW(D22))</f>
        <v>The group-star displays your result arranged by stakeholder as a graphic.</v>
      </c>
      <c r="E22" s="563" t="s">
        <v>835</v>
      </c>
      <c r="F22" s="549" t="s">
        <v>836</v>
      </c>
      <c r="G22" s="556" t="s">
        <v>837</v>
      </c>
      <c r="H22" s="549" t="s">
        <v>838</v>
      </c>
      <c r="I22" s="549" t="str">
        <f aca="false">"[fr]"&amp;E22</f>
        <v>[fr]Der "Gruppen-Stern" zeigt schließlich Ihr Ergebnis nach Berührungsgruppen gegliedert in graphischer Form.</v>
      </c>
      <c r="J22" s="549" t="str">
        <f aca="false">"[pt]"&amp;E22</f>
        <v>[pt]Der "Gruppen-Stern" zeigt schließlich Ihr Ergebnis nach Berührungsgruppen gegliedert in graphischer Form.</v>
      </c>
      <c r="K22" s="549" t="str">
        <f aca="false">"[gr]"&amp;E22</f>
        <v>[gr]Der "Gruppen-Stern" zeigt schließlich Ihr Ergebnis nach Berührungsgruppen gegliedert in graphischer Form.</v>
      </c>
    </row>
    <row r="23" customFormat="false" ht="28.5" hidden="false" customHeight="true" outlineLevel="0" collapsed="false">
      <c r="B23" s="562"/>
      <c r="C23" s="562"/>
      <c r="D23" s="552" t="str">
        <f aca="false">HLOOKUP($C$1,$E$1:$X$4910,ROW(D23))</f>
        <v>The theme-star displays the result of your themes as a graphic.</v>
      </c>
      <c r="E23" s="555" t="s">
        <v>839</v>
      </c>
      <c r="F23" s="549" t="s">
        <v>840</v>
      </c>
      <c r="G23" s="556" t="s">
        <v>841</v>
      </c>
      <c r="H23" s="549" t="s">
        <v>842</v>
      </c>
      <c r="I23" s="549" t="str">
        <f aca="false">"[fr]"&amp;E23</f>
        <v>[fr]Der "Themen-Stern" zeigt schließlich Ihr Ergebnis in allen Themen in graphischer Form.</v>
      </c>
      <c r="J23" s="549" t="str">
        <f aca="false">"[pt]"&amp;E23</f>
        <v>[pt]Der "Themen-Stern" zeigt schließlich Ihr Ergebnis in allen Themen in graphischer Form.</v>
      </c>
      <c r="K23" s="549" t="str">
        <f aca="false">"[gr]"&amp;E23</f>
        <v>[gr]Der "Themen-Stern" zeigt schließlich Ihr Ergebnis in allen Themen in graphischer Form.</v>
      </c>
    </row>
    <row r="24" customFormat="false" ht="28.5" hidden="false" customHeight="true" outlineLevel="0" collapsed="false">
      <c r="B24" s="562"/>
      <c r="C24" s="562"/>
      <c r="D24" s="552" t="str">
        <f aca="false">HLOOKUP($C$1,$E$1:$X$4910,ROW(D24))</f>
        <v>This is a description of the weighting model.</v>
      </c>
      <c r="E24" s="549" t="s">
        <v>843</v>
      </c>
      <c r="F24" s="549" t="s">
        <v>844</v>
      </c>
      <c r="G24" s="556" t="s">
        <v>845</v>
      </c>
      <c r="H24" s="549" t="s">
        <v>846</v>
      </c>
      <c r="I24" s="549" t="str">
        <f aca="false">"[fr]"&amp;E24</f>
        <v>[fr]Hier finden Sie eine Beschreibung der Gewichtungsmodelles.</v>
      </c>
      <c r="J24" s="549" t="str">
        <f aca="false">"[pt]"&amp;E24</f>
        <v>[pt]Hier finden Sie eine Beschreibung der Gewichtungsmodelles.</v>
      </c>
      <c r="K24" s="549" t="str">
        <f aca="false">"[gr]"&amp;E24</f>
        <v>[gr]Hier finden Sie eine Beschreibung der Gewichtungsmodelles.</v>
      </c>
    </row>
    <row r="25" customFormat="false" ht="41.85" hidden="false" customHeight="true" outlineLevel="0" collapsed="false">
      <c r="B25" s="562"/>
      <c r="C25" s="562"/>
      <c r="D25" s="552" t="str">
        <f aca="false">HLOOKUP($C$1,$E$1:$X$4910,ROW(D25))</f>
        <v>This is where the calculation determines how the individual stakeholder groups and themes are weighted.</v>
      </c>
      <c r="E25" s="549" t="s">
        <v>847</v>
      </c>
      <c r="F25" s="549" t="s">
        <v>848</v>
      </c>
      <c r="G25" s="556" t="s">
        <v>849</v>
      </c>
      <c r="H25" s="549" t="s">
        <v>850</v>
      </c>
      <c r="I25" s="549" t="str">
        <f aca="false">"[fr]"&amp;E25</f>
        <v>[fr]Hier erfolgt die Berechnung wie die einzelnen Berührungsgruppen und Themen gewichtet werden.</v>
      </c>
      <c r="J25" s="549" t="str">
        <f aca="false">"[pt]"&amp;E25</f>
        <v>[pt]Hier erfolgt die Berechnung wie die einzelnen Berührungsgruppen und Themen gewichtet werden.</v>
      </c>
      <c r="K25" s="549" t="str">
        <f aca="false">"[gr]"&amp;E25</f>
        <v>[gr]Hier erfolgt die Berechnung wie die einzelnen Berührungsgruppen und Themen gewichtet werden.</v>
      </c>
    </row>
    <row r="26" customFormat="false" ht="54.75" hidden="false" customHeight="true" outlineLevel="0" collapsed="false">
      <c r="B26" s="562"/>
      <c r="C26" s="562"/>
      <c r="D26" s="552" t="str">
        <f aca="false">HLOOKUP($C$1,$E$1:$X$4910,ROW(D26))</f>
        <v>This contains an assessment of the relevance of supply chains and environmental sustainability for all industry sectors, used in the weighting.</v>
      </c>
      <c r="E26" s="549" t="s">
        <v>851</v>
      </c>
      <c r="F26" s="549" t="s">
        <v>852</v>
      </c>
      <c r="G26" s="556" t="s">
        <v>853</v>
      </c>
      <c r="H26" s="549" t="s">
        <v>854</v>
      </c>
      <c r="I26" s="549" t="str">
        <f aca="false">"[fr]"&amp;E26</f>
        <v>[fr]Enthält Einschätzungen der Relevanz von Zulieferkette und ökologische Nachhaltigkeit für alle Branchen,, die für die Gewichtung herangezogen werden.</v>
      </c>
      <c r="J26" s="549" t="str">
        <f aca="false">"[pt]"&amp;E26</f>
        <v>[pt]Enthält Einschätzungen der Relevanz von Zulieferkette und ökologische Nachhaltigkeit für alle Branchen,, die für die Gewichtung herangezogen werden.</v>
      </c>
      <c r="K26" s="549" t="str">
        <f aca="false">"[gr]"&amp;E26</f>
        <v>[gr]Enthält Einschätzungen der Relevanz von Zulieferkette und ökologische Nachhaltigkeit für alle Branchen,, die für die Gewichtung herangezogen werden.</v>
      </c>
    </row>
    <row r="27" customFormat="false" ht="28.5" hidden="false" customHeight="true" outlineLevel="0" collapsed="false">
      <c r="B27" s="562"/>
      <c r="C27" s="562"/>
      <c r="D27" s="552" t="str">
        <f aca="false">HLOOKUP($C$1,$E$1:$X$4910,ROW(D27))</f>
        <v>This contains statistics for countries and regions used in the weighting.</v>
      </c>
      <c r="E27" s="549" t="s">
        <v>855</v>
      </c>
      <c r="F27" s="549" t="s">
        <v>856</v>
      </c>
      <c r="G27" s="556" t="s">
        <v>857</v>
      </c>
      <c r="H27" s="549" t="s">
        <v>858</v>
      </c>
      <c r="I27" s="549" t="str">
        <f aca="false">"[fr]"&amp;E27</f>
        <v>[fr]Enthält Statistiken für Länder und Regionen, die für die Gewichtung herangezogen werden.</v>
      </c>
      <c r="J27" s="549" t="str">
        <f aca="false">"[pt]"&amp;E27</f>
        <v>[pt]Enthält Statistiken für Länder und Regionen, die für die Gewichtung herangezogen werden.</v>
      </c>
      <c r="K27" s="549" t="str">
        <f aca="false">"[gr]"&amp;E27</f>
        <v>[gr]Enthält Statistiken für Länder und Regionen, die für die Gewichtung herangezogen werden.</v>
      </c>
    </row>
    <row r="28" customFormat="false" ht="15.75" hidden="false" customHeight="true" outlineLevel="0" collapsed="false">
      <c r="B28" s="562"/>
      <c r="C28" s="562"/>
      <c r="D28" s="552" t="str">
        <f aca="false">HLOOKUP($C$1,$E$1:$X$4910,ROW(D28))</f>
        <v>2. Company details</v>
      </c>
      <c r="E28" s="549" t="s">
        <v>859</v>
      </c>
      <c r="F28" s="549" t="s">
        <v>860</v>
      </c>
      <c r="G28" s="556" t="s">
        <v>861</v>
      </c>
      <c r="H28" s="549" t="s">
        <v>862</v>
      </c>
      <c r="I28" s="549" t="str">
        <f aca="false">"[fr]"&amp;E28</f>
        <v>[fr]2. Fakten zum Unternehmen</v>
      </c>
      <c r="J28" s="549" t="str">
        <f aca="false">"[pt]"&amp;E28</f>
        <v>[pt]2. Fakten zum Unternehmen</v>
      </c>
      <c r="K28" s="549" t="str">
        <f aca="false">"[gr]"&amp;E28</f>
        <v>[gr]2. Fakten zum Unternehmen</v>
      </c>
    </row>
    <row r="29" customFormat="false" ht="15.75" hidden="false" customHeight="true" outlineLevel="0" collapsed="false">
      <c r="B29" s="562"/>
      <c r="C29" s="562"/>
      <c r="D29" s="552" t="str">
        <f aca="false">HLOOKUP($C$1,$E$1:$X$4910,ROW(D29))</f>
        <v>3. Scoring</v>
      </c>
      <c r="E29" s="549" t="s">
        <v>863</v>
      </c>
      <c r="F29" s="549" t="s">
        <v>864</v>
      </c>
      <c r="G29" s="556" t="s">
        <v>865</v>
      </c>
      <c r="H29" s="549" t="s">
        <v>866</v>
      </c>
      <c r="I29" s="549" t="str">
        <f aca="false">"[fr]"&amp;E29</f>
        <v>[fr]3. Berechnung</v>
      </c>
      <c r="J29" s="549" t="str">
        <f aca="false">"[pt]"&amp;E29</f>
        <v>[pt]3. Berechnung</v>
      </c>
      <c r="K29" s="549" t="str">
        <f aca="false">"[gr]"&amp;E29</f>
        <v>[gr]3. Berechnung</v>
      </c>
    </row>
    <row r="30" customFormat="false" ht="15.75" hidden="false" customHeight="true" outlineLevel="0" collapsed="false">
      <c r="B30" s="562"/>
      <c r="C30" s="562"/>
      <c r="D30" s="552" t="str">
        <f aca="false">HLOOKUP($C$1,$E$1:$X$4910,ROW(D30))</f>
        <v>4. ECG Matrix</v>
      </c>
      <c r="E30" s="549" t="s">
        <v>867</v>
      </c>
      <c r="F30" s="549" t="s">
        <v>868</v>
      </c>
      <c r="G30" s="556" t="s">
        <v>869</v>
      </c>
      <c r="H30" s="549" t="s">
        <v>870</v>
      </c>
      <c r="I30" s="549" t="str">
        <f aca="false">"[fr]"&amp;E30</f>
        <v>[fr]4. GW-Matrix</v>
      </c>
      <c r="J30" s="549" t="str">
        <f aca="false">"[pt]"&amp;E30</f>
        <v>[pt]4. GW-Matrix</v>
      </c>
      <c r="K30" s="549" t="str">
        <f aca="false">"[gr]"&amp;E30</f>
        <v>[gr]4. GW-Matrix</v>
      </c>
    </row>
    <row r="31" customFormat="false" ht="15.75" hidden="false" customHeight="true" outlineLevel="0" collapsed="false">
      <c r="B31" s="562"/>
      <c r="C31" s="562"/>
      <c r="D31" s="552" t="str">
        <f aca="false">HLOOKUP($C$1,$E$1:$X$4910,ROW(D31))</f>
        <v>5. Values star</v>
      </c>
      <c r="E31" s="549" t="s">
        <v>871</v>
      </c>
      <c r="F31" s="549" t="s">
        <v>872</v>
      </c>
      <c r="G31" s="556" t="s">
        <v>873</v>
      </c>
      <c r="H31" s="549" t="s">
        <v>874</v>
      </c>
      <c r="I31" s="549" t="str">
        <f aca="false">"[fr]"&amp;E31</f>
        <v>[fr]5. Werte-Stern</v>
      </c>
      <c r="J31" s="549" t="str">
        <f aca="false">"[pt]"&amp;E31</f>
        <v>[pt]5. Werte-Stern</v>
      </c>
      <c r="K31" s="549" t="str">
        <f aca="false">"[gr]"&amp;E31</f>
        <v>[gr]5. Werte-Stern</v>
      </c>
    </row>
    <row r="32" customFormat="false" ht="15.75" hidden="false" customHeight="true" outlineLevel="0" collapsed="false">
      <c r="B32" s="562"/>
      <c r="C32" s="562"/>
      <c r="D32" s="552" t="str">
        <f aca="false">HLOOKUP($C$1,$E$1:$X$4910,ROW(D32))</f>
        <v>6. Group star</v>
      </c>
      <c r="E32" s="549" t="s">
        <v>875</v>
      </c>
      <c r="F32" s="549" t="s">
        <v>876</v>
      </c>
      <c r="G32" s="556" t="s">
        <v>877</v>
      </c>
      <c r="H32" s="549" t="s">
        <v>878</v>
      </c>
      <c r="I32" s="549" t="str">
        <f aca="false">"[fr]"&amp;E32</f>
        <v>[fr]6. Gruppen-Stern</v>
      </c>
      <c r="J32" s="549" t="str">
        <f aca="false">"[pt]"&amp;E32</f>
        <v>[pt]6. Gruppen-Stern</v>
      </c>
      <c r="K32" s="549" t="str">
        <f aca="false">"[gr]"&amp;E32</f>
        <v>[gr]6. Gruppen-Stern</v>
      </c>
    </row>
    <row r="33" customFormat="false" ht="15.75" hidden="false" customHeight="true" outlineLevel="0" collapsed="false">
      <c r="B33" s="562"/>
      <c r="C33" s="562"/>
      <c r="D33" s="552" t="str">
        <f aca="false">HLOOKUP($C$1,$E$1:$X$4910,ROW(D33))</f>
        <v>7. Theme star</v>
      </c>
      <c r="E33" s="549" t="s">
        <v>879</v>
      </c>
      <c r="F33" s="549" t="s">
        <v>880</v>
      </c>
      <c r="G33" s="556" t="s">
        <v>881</v>
      </c>
      <c r="H33" s="549" t="s">
        <v>882</v>
      </c>
      <c r="I33" s="549" t="str">
        <f aca="false">"[fr]"&amp;E33</f>
        <v>[fr]7. Themen-Stern</v>
      </c>
      <c r="J33" s="549" t="str">
        <f aca="false">"[pt]"&amp;E33</f>
        <v>[pt]7. Themen-Stern</v>
      </c>
      <c r="K33" s="549" t="str">
        <f aca="false">"[gr]"&amp;E33</f>
        <v>[gr]7. Themen-Stern</v>
      </c>
    </row>
    <row r="34" customFormat="false" ht="15.75" hidden="false" customHeight="true" outlineLevel="0" collapsed="false">
      <c r="B34" s="562"/>
      <c r="C34" s="562"/>
      <c r="D34" s="552" t="str">
        <f aca="false">HLOOKUP($C$1,$E$1:$X$4910,ROW(D34))</f>
        <v>8. Weighting model description</v>
      </c>
      <c r="E34" s="549" t="s">
        <v>883</v>
      </c>
      <c r="F34" s="549" t="s">
        <v>884</v>
      </c>
      <c r="G34" s="556" t="s">
        <v>885</v>
      </c>
      <c r="H34" s="549" t="s">
        <v>886</v>
      </c>
      <c r="I34" s="549" t="str">
        <f aca="false">"[fr]"&amp;E34</f>
        <v>[fr]8. Beschreibung Gewichtungsmodell</v>
      </c>
      <c r="J34" s="549" t="str">
        <f aca="false">"[pt]"&amp;E34</f>
        <v>[pt]8. Beschreibung Gewichtungsmodell</v>
      </c>
      <c r="K34" s="549" t="str">
        <f aca="false">"[gr]"&amp;E34</f>
        <v>[gr]8. Beschreibung Gewichtungsmodell</v>
      </c>
    </row>
    <row r="35" customFormat="false" ht="15.75" hidden="false" customHeight="true" outlineLevel="0" collapsed="false">
      <c r="B35" s="562"/>
      <c r="C35" s="562"/>
      <c r="D35" s="552" t="str">
        <f aca="false">HLOOKUP($C$1,$E$1:$X$4910,ROW(D35))</f>
        <v>9. Weighting (hidden)</v>
      </c>
      <c r="E35" s="549" t="s">
        <v>887</v>
      </c>
      <c r="F35" s="549" t="s">
        <v>888</v>
      </c>
      <c r="G35" s="556" t="s">
        <v>889</v>
      </c>
      <c r="H35" s="549" t="s">
        <v>890</v>
      </c>
      <c r="I35" s="549" t="str">
        <f aca="false">"[fr]"&amp;E35</f>
        <v>[fr]9. Gewichtung (ausgeblendet)</v>
      </c>
      <c r="J35" s="549" t="str">
        <f aca="false">"[pt]"&amp;E35</f>
        <v>[pt]9. Gewichtung (ausgeblendet)</v>
      </c>
      <c r="K35" s="549" t="str">
        <f aca="false">"[gr]"&amp;E35</f>
        <v>[gr]9. Gewichtung (ausgeblendet)</v>
      </c>
    </row>
    <row r="36" customFormat="false" ht="15.75" hidden="false" customHeight="true" outlineLevel="0" collapsed="false">
      <c r="B36" s="562"/>
      <c r="C36" s="562"/>
      <c r="D36" s="552" t="str">
        <f aca="false">HLOOKUP($C$1,$E$1:$X$4910,ROW(D36))</f>
        <v>10. Industry sectors (hidden)</v>
      </c>
      <c r="E36" s="549" t="s">
        <v>891</v>
      </c>
      <c r="F36" s="549" t="s">
        <v>892</v>
      </c>
      <c r="G36" s="556" t="s">
        <v>893</v>
      </c>
      <c r="H36" s="549" t="s">
        <v>894</v>
      </c>
      <c r="I36" s="549" t="str">
        <f aca="false">"[fr]"&amp;E36</f>
        <v>[fr]10. Branchen (ausgeblendet)</v>
      </c>
      <c r="J36" s="549" t="str">
        <f aca="false">"[pt]"&amp;E36</f>
        <v>[pt]10. Branchen (ausgeblendet)</v>
      </c>
      <c r="K36" s="549" t="str">
        <f aca="false">"[gr]"&amp;E36</f>
        <v>[gr]10. Branchen (ausgeblendet)</v>
      </c>
    </row>
    <row r="37" customFormat="false" ht="15.75" hidden="false" customHeight="true" outlineLevel="0" collapsed="false">
      <c r="B37" s="562"/>
      <c r="C37" s="562"/>
      <c r="D37" s="552" t="str">
        <f aca="false">HLOOKUP($C$1,$E$1:$X$4910,ROW(D37))</f>
        <v>11. Countries (hidden)</v>
      </c>
      <c r="E37" s="549" t="s">
        <v>895</v>
      </c>
      <c r="F37" s="549" t="s">
        <v>896</v>
      </c>
      <c r="G37" s="556" t="s">
        <v>897</v>
      </c>
      <c r="H37" s="549" t="s">
        <v>898</v>
      </c>
      <c r="I37" s="549" t="str">
        <f aca="false">"[fr]"&amp;E37</f>
        <v>[fr]11. Länder und Regionen (ausgeblendet)</v>
      </c>
      <c r="J37" s="549" t="str">
        <f aca="false">"[pt]"&amp;E37</f>
        <v>[pt]11. Länder und Regionen (ausgeblendet)</v>
      </c>
      <c r="K37" s="549" t="str">
        <f aca="false">"[gr]"&amp;E37</f>
        <v>[gr]11. Länder und Regionen (ausgeblendet)</v>
      </c>
    </row>
    <row r="38" customFormat="false" ht="15.75" hidden="false" customHeight="true" outlineLevel="0" collapsed="false">
      <c r="B38" s="562"/>
      <c r="C38" s="562"/>
      <c r="D38" s="552"/>
      <c r="E38" s="549"/>
      <c r="G38" s="556"/>
      <c r="H38" s="549"/>
      <c r="I38" s="549"/>
      <c r="J38" s="549"/>
      <c r="K38" s="549"/>
    </row>
    <row r="39" customFormat="false" ht="15.75" hidden="false" customHeight="true" outlineLevel="0" collapsed="false">
      <c r="B39" s="562"/>
      <c r="C39" s="562"/>
      <c r="D39" s="552" t="n">
        <f aca="false">HLOOKUP($C$1,$E$1:$X$4910,ROW(D39))</f>
        <v>0</v>
      </c>
      <c r="E39" s="549"/>
      <c r="G39" s="556"/>
      <c r="H39" s="549"/>
      <c r="I39" s="549"/>
      <c r="J39" s="549"/>
      <c r="K39" s="549"/>
    </row>
    <row r="40" customFormat="false" ht="15.75" hidden="false" customHeight="true" outlineLevel="0" collapsed="false">
      <c r="B40" s="562"/>
      <c r="C40" s="562"/>
      <c r="D40" s="552" t="str">
        <f aca="false">HLOOKUP($C$1,$E$1:$X$4910,ROW(D40))</f>
        <v>KEY</v>
      </c>
      <c r="E40" s="549" t="s">
        <v>899</v>
      </c>
      <c r="F40" s="549" t="s">
        <v>900</v>
      </c>
      <c r="G40" s="556" t="s">
        <v>901</v>
      </c>
      <c r="H40" s="549" t="s">
        <v>902</v>
      </c>
      <c r="I40" s="549" t="str">
        <f aca="false">"[fr]"&amp;E40</f>
        <v>[fr]LEGENDE</v>
      </c>
      <c r="J40" s="549" t="str">
        <f aca="false">"[pt]"&amp;E40</f>
        <v>[pt]LEGENDE</v>
      </c>
      <c r="K40" s="549" t="str">
        <f aca="false">"[gr]"&amp;E40</f>
        <v>[gr]LEGENDE</v>
      </c>
    </row>
    <row r="41" customFormat="false" ht="28.5" hidden="false" customHeight="true" outlineLevel="0" collapsed="false">
      <c r="B41" s="562"/>
      <c r="C41" s="562"/>
      <c r="D41" s="552" t="str">
        <f aca="false">HLOOKUP($C$1,$E$1:$X$4910,ROW(D41))</f>
        <v>Field is editable (green frame, dark green text)</v>
      </c>
      <c r="E41" s="549" t="s">
        <v>903</v>
      </c>
      <c r="F41" s="549" t="s">
        <v>904</v>
      </c>
      <c r="G41" s="556" t="s">
        <v>905</v>
      </c>
      <c r="H41" s="549" t="s">
        <v>906</v>
      </c>
      <c r="I41" s="549" t="str">
        <f aca="false">"[fr]"&amp;E41</f>
        <v>[fr]Feld ist beschreibbar (grüner Rahmen, dunkelgrüne Schrift)</v>
      </c>
      <c r="J41" s="549" t="str">
        <f aca="false">"[pt]"&amp;E41</f>
        <v>[pt]Feld ist beschreibbar (grüner Rahmen, dunkelgrüne Schrift)</v>
      </c>
      <c r="K41" s="549" t="str">
        <f aca="false">"[gr]"&amp;E41</f>
        <v>[gr]Feld ist beschreibbar (grüner Rahmen, dunkelgrüne Schrift)</v>
      </c>
    </row>
    <row r="42" customFormat="false" ht="28.5" hidden="false" customHeight="true" outlineLevel="0" collapsed="false">
      <c r="B42" s="562"/>
      <c r="C42" s="562"/>
      <c r="D42" s="552" t="str">
        <f aca="false">HLOOKUP($C$1,$E$1:$X$4910,ROW(D42))</f>
        <v>Feld is read-only (grey frame, dark grey text)</v>
      </c>
      <c r="E42" s="549" t="s">
        <v>907</v>
      </c>
      <c r="F42" s="549" t="s">
        <v>908</v>
      </c>
      <c r="G42" s="556" t="s">
        <v>909</v>
      </c>
      <c r="H42" s="549" t="s">
        <v>910</v>
      </c>
      <c r="I42" s="549" t="str">
        <f aca="false">"[fr]"&amp;E42</f>
        <v>[fr]Feld ist nicht beschreibbar (grauer Rahmen, dunkelgraue Schrift)</v>
      </c>
      <c r="J42" s="549" t="str">
        <f aca="false">"[pt]"&amp;E42</f>
        <v>[pt]Feld ist nicht beschreibbar (grauer Rahmen, dunkelgraue Schrift)</v>
      </c>
      <c r="K42" s="549" t="str">
        <f aca="false">"[gr]"&amp;E42</f>
        <v>[gr]Feld ist nicht beschreibbar (grauer Rahmen, dunkelgraue Schrift)</v>
      </c>
    </row>
    <row r="43" customFormat="false" ht="26.85" hidden="false" customHeight="true" outlineLevel="0" collapsed="false">
      <c r="B43" s="562"/>
      <c r="C43" s="562"/>
      <c r="D43" s="552" t="str">
        <f aca="false">HLOOKUP($C$1,$E$1:$X$4910,ROW(D43))</f>
        <v>non valid value entry (for correct calculation change value)</v>
      </c>
      <c r="E43" s="549" t="s">
        <v>911</v>
      </c>
      <c r="F43" s="549" t="s">
        <v>912</v>
      </c>
      <c r="G43" s="556" t="s">
        <v>913</v>
      </c>
      <c r="H43" s="549" t="s">
        <v>914</v>
      </c>
      <c r="I43" s="549" t="str">
        <f aca="false">"[fr]"&amp;E43</f>
        <v>[fr]unerlaubter Wert eingegeben (zur korrekten Berechnung Wert ändern)</v>
      </c>
      <c r="J43" s="549" t="str">
        <f aca="false">"[pt]"&amp;E43</f>
        <v>[pt]unerlaubter Wert eingegeben (zur korrekten Berechnung Wert ändern)</v>
      </c>
      <c r="K43" s="549" t="str">
        <f aca="false">"[gr]"&amp;E43</f>
        <v>[gr]unerlaubter Wert eingegeben (zur korrekten Berechnung Wert ändern)</v>
      </c>
    </row>
    <row r="44" customFormat="false" ht="26.85" hidden="false" customHeight="true" outlineLevel="0" collapsed="false">
      <c r="B44" s="562"/>
      <c r="C44" s="562"/>
      <c r="D44" s="552" t="str">
        <f aca="false">HLOOKUP($C$1,$E$1:$X$4910,ROW(D44))</f>
        <v>Values are not consistent</v>
      </c>
      <c r="E44" s="549" t="s">
        <v>915</v>
      </c>
      <c r="F44" s="549" t="s">
        <v>915</v>
      </c>
      <c r="G44" s="556" t="s">
        <v>916</v>
      </c>
      <c r="H44" s="549" t="s">
        <v>917</v>
      </c>
      <c r="I44" s="549" t="str">
        <f aca="false">"[fr]"&amp;E44</f>
        <v>[fr]fehlerhafte Eingabe</v>
      </c>
      <c r="J44" s="549" t="str">
        <f aca="false">"[pt]"&amp;E44</f>
        <v>[pt]fehlerhafte Eingabe</v>
      </c>
      <c r="K44" s="549" t="str">
        <f aca="false">"[gr]"&amp;E44</f>
        <v>[gr]fehlerhafte Eingabe</v>
      </c>
    </row>
    <row r="45" customFormat="false" ht="44.1" hidden="false" customHeight="true" outlineLevel="0" collapsed="false">
      <c r="B45" s="562"/>
      <c r="C45" s="562"/>
      <c r="D45" s="552" t="n">
        <f aca="false">HLOOKUP($C$1,$E$1:$X$4910,ROW(D45))</f>
        <v>0</v>
      </c>
      <c r="E45" s="549"/>
      <c r="G45" s="556"/>
      <c r="H45" s="549"/>
      <c r="I45" s="549"/>
      <c r="J45" s="549"/>
      <c r="K45" s="549"/>
    </row>
    <row r="46" customFormat="false" ht="26.85" hidden="false" customHeight="true" outlineLevel="0" collapsed="false">
      <c r="B46" s="562"/>
      <c r="C46" s="562"/>
      <c r="D46" s="552" t="n">
        <f aca="false">HLOOKUP($C$1,$E$1:$X$4910,ROW(D46))</f>
        <v>0</v>
      </c>
      <c r="E46" s="549"/>
      <c r="G46" s="556"/>
      <c r="H46" s="549"/>
      <c r="I46" s="549"/>
      <c r="J46" s="549"/>
      <c r="K46" s="549"/>
    </row>
    <row r="47" customFormat="false" ht="38.25" hidden="false" customHeight="true" outlineLevel="0" collapsed="false">
      <c r="B47" s="562"/>
      <c r="C47" s="562"/>
      <c r="D47" s="552" t="n">
        <f aca="false">HLOOKUP($C$1,$E$1:$X$4910,ROW(D47))</f>
        <v>0</v>
      </c>
      <c r="E47" s="549"/>
      <c r="G47" s="556"/>
      <c r="H47" s="549"/>
      <c r="I47" s="549"/>
      <c r="J47" s="549"/>
      <c r="K47" s="549"/>
    </row>
    <row r="48" customFormat="false" ht="26.85" hidden="false" customHeight="true" outlineLevel="0" collapsed="false">
      <c r="B48" s="562"/>
      <c r="C48" s="562"/>
      <c r="D48" s="552" t="n">
        <f aca="false">HLOOKUP($C$1,$E$1:$X$4910,ROW(D48))</f>
        <v>0</v>
      </c>
      <c r="E48" s="549"/>
      <c r="G48" s="556"/>
      <c r="H48" s="549"/>
      <c r="I48" s="549"/>
      <c r="J48" s="549"/>
      <c r="K48" s="549"/>
    </row>
    <row r="49" customFormat="false" ht="26.85" hidden="false" customHeight="true" outlineLevel="0" collapsed="false">
      <c r="B49" s="562"/>
      <c r="C49" s="562"/>
      <c r="D49" s="552" t="n">
        <f aca="false">HLOOKUP($C$1,$E$1:$X$4910,ROW(D49))</f>
        <v>0</v>
      </c>
      <c r="E49" s="549"/>
      <c r="G49" s="556"/>
      <c r="H49" s="549"/>
      <c r="I49" s="549"/>
      <c r="J49" s="549"/>
      <c r="K49" s="549"/>
    </row>
    <row r="50" customFormat="false" ht="26.85" hidden="false" customHeight="true" outlineLevel="0" collapsed="false">
      <c r="B50" s="562"/>
      <c r="C50" s="562"/>
      <c r="D50" s="552" t="n">
        <f aca="false">HLOOKUP($C$1,$E$1:$X$4910,ROW(D50))</f>
        <v>0</v>
      </c>
      <c r="E50" s="549"/>
      <c r="G50" s="556"/>
      <c r="H50" s="549"/>
      <c r="I50" s="549"/>
      <c r="J50" s="549"/>
      <c r="K50" s="549"/>
    </row>
    <row r="51" customFormat="false" ht="26.85" hidden="false" customHeight="true" outlineLevel="0" collapsed="false">
      <c r="B51" s="562"/>
      <c r="C51" s="562"/>
      <c r="D51" s="552" t="n">
        <f aca="false">HLOOKUP($C$1,$E$1:$X$4910,ROW(D51))</f>
        <v>0</v>
      </c>
      <c r="E51" s="549"/>
      <c r="G51" s="556"/>
      <c r="H51" s="549"/>
      <c r="I51" s="549"/>
      <c r="J51" s="549"/>
      <c r="K51" s="549"/>
    </row>
    <row r="52" customFormat="false" ht="26.85" hidden="false" customHeight="true" outlineLevel="0" collapsed="false">
      <c r="B52" s="562"/>
      <c r="C52" s="562"/>
      <c r="D52" s="552" t="str">
        <f aca="false">HLOOKUP($C$1,$E$1:$X$4910,ROW(D52))</f>
        <v>yes</v>
      </c>
      <c r="E52" s="549" t="s">
        <v>918</v>
      </c>
      <c r="F52" s="549" t="s">
        <v>919</v>
      </c>
      <c r="G52" s="556" t="s">
        <v>920</v>
      </c>
      <c r="H52" s="549" t="s">
        <v>921</v>
      </c>
      <c r="I52" s="549" t="str">
        <f aca="false">"[fr]"&amp;E52</f>
        <v>[fr]ja</v>
      </c>
      <c r="J52" s="549" t="str">
        <f aca="false">"[pt]"&amp;E52</f>
        <v>[pt]ja</v>
      </c>
      <c r="K52" s="549" t="str">
        <f aca="false">"[gr]"&amp;E52</f>
        <v>[gr]ja</v>
      </c>
    </row>
    <row r="53" customFormat="false" ht="26.85" hidden="false" customHeight="true" outlineLevel="0" collapsed="false">
      <c r="B53" s="562"/>
      <c r="C53" s="562"/>
      <c r="D53" s="552" t="str">
        <f aca="false">HLOOKUP($C$1,$E$1:$X$4910,ROW(D53))</f>
        <v>no</v>
      </c>
      <c r="E53" s="549" t="s">
        <v>922</v>
      </c>
      <c r="F53" s="549" t="s">
        <v>923</v>
      </c>
      <c r="G53" s="556" t="s">
        <v>923</v>
      </c>
      <c r="H53" s="549" t="s">
        <v>924</v>
      </c>
      <c r="I53" s="549" t="s">
        <v>925</v>
      </c>
      <c r="J53" s="549" t="s">
        <v>926</v>
      </c>
      <c r="K53" s="549" t="str">
        <f aca="false">"[gr]"&amp;E53</f>
        <v>[gr]nein</v>
      </c>
    </row>
    <row r="54" customFormat="false" ht="15.75" hidden="false" customHeight="true" outlineLevel="0" collapsed="false">
      <c r="D54" s="552" t="str">
        <f aca="false">HLOOKUP($C$1,$E$1:$X$4910,ROW(D54))</f>
        <v>CONTACT</v>
      </c>
      <c r="E54" s="549" t="s">
        <v>927</v>
      </c>
      <c r="F54" s="549" t="s">
        <v>928</v>
      </c>
      <c r="G54" s="556" t="s">
        <v>929</v>
      </c>
      <c r="H54" s="549" t="s">
        <v>930</v>
      </c>
      <c r="I54" s="549" t="str">
        <f aca="false">"[fr]"&amp;E54</f>
        <v>[fr]KONTAKT</v>
      </c>
      <c r="J54" s="549" t="str">
        <f aca="false">"[pt]"&amp;E54</f>
        <v>[pt]KONTAKT</v>
      </c>
      <c r="K54" s="549" t="str">
        <f aca="false">"[gr]"&amp;E54</f>
        <v>[gr]KONTAKT</v>
      </c>
    </row>
    <row r="55" customFormat="false" ht="41.85" hidden="false" customHeight="true" outlineLevel="0" collapsed="false">
      <c r="D55" s="552" t="str">
        <f aca="false">HLOOKUP($C$1,$E$1:$X$4910,ROW(D55))</f>
        <v>Questions regarding preparation of balance sheet:
beratung@gemeinwohl-oekonomie.org (GWÖ-BeraterInnen);</v>
      </c>
      <c r="E55" s="549" t="s">
        <v>931</v>
      </c>
      <c r="F55" s="549" t="s">
        <v>932</v>
      </c>
      <c r="G55" s="556" t="s">
        <v>933</v>
      </c>
      <c r="H55" s="549" t="s">
        <v>934</v>
      </c>
      <c r="I55" s="549" t="str">
        <f aca="false">"[fr]"&amp;E55</f>
        <v>[fr]Fragen zur Bilanz-Erstellung: beratung@gemeinwohl-oekonomie.org (GWÖ-BeraterInnen);</v>
      </c>
      <c r="J55" s="549" t="str">
        <f aca="false">"[pt]"&amp;E55</f>
        <v>[pt]Fragen zur Bilanz-Erstellung: beratung@gemeinwohl-oekonomie.org (GWÖ-BeraterInnen);</v>
      </c>
      <c r="K55" s="549" t="str">
        <f aca="false">"[gr]"&amp;E55</f>
        <v>[gr]Fragen zur Bilanz-Erstellung: beratung@gemeinwohl-oekonomie.org (GWÖ-BeraterInnen);</v>
      </c>
    </row>
    <row r="56" customFormat="false" ht="28.5" hidden="false" customHeight="true" outlineLevel="0" collapsed="false">
      <c r="D56" s="552" t="str">
        <f aca="false">HLOOKUP($C$1,$E$1:$X$4910,ROW(D56))</f>
        <v>Questions regarding audit: audit@gemeinwohl-oekonomie.org (GWÖ-AuditorInnen);</v>
      </c>
      <c r="E56" s="549" t="s">
        <v>935</v>
      </c>
      <c r="F56" s="566" t="s">
        <v>936</v>
      </c>
      <c r="G56" s="556" t="s">
        <v>937</v>
      </c>
      <c r="H56" s="549" t="s">
        <v>938</v>
      </c>
      <c r="I56" s="549" t="str">
        <f aca="false">"[fr]"&amp;E56</f>
        <v>[fr]Fragen zur Auditierung: audit@gemeinwohl-oekonomie.org (GWÖ-AuditorInnen);</v>
      </c>
      <c r="J56" s="549" t="str">
        <f aca="false">"[pt]"&amp;E56</f>
        <v>[pt]Fragen zur Auditierung: audit@gemeinwohl-oekonomie.org (GWÖ-AuditorInnen);</v>
      </c>
      <c r="K56" s="549" t="str">
        <f aca="false">"[gr]"&amp;E56</f>
        <v>[gr]Fragen zur Auditierung: audit@gemeinwohl-oekonomie.org (GWÖ-AuditorInnen);</v>
      </c>
    </row>
    <row r="57" customFormat="false" ht="41.85" hidden="false" customHeight="true" outlineLevel="0" collapsed="false">
      <c r="D57" s="552" t="str">
        <f aca="false">HLOOKUP($C$1,$E$1:$X$4910,ROW(D57))</f>
        <v>Feedback on the development of the Matrix: bilanz@ecogood.org (Matrix Development Team)</v>
      </c>
      <c r="E57" s="549" t="s">
        <v>939</v>
      </c>
      <c r="F57" s="549" t="str">
        <f aca="false">"[it]"&amp;E57</f>
        <v>[it]Weiterentwicklung der Matrix: bilanz@ecogood.org (GWÖ-Matrix Entwicklungsteam);</v>
      </c>
      <c r="G57" s="556" t="s">
        <v>940</v>
      </c>
      <c r="H57" s="549" t="s">
        <v>941</v>
      </c>
      <c r="I57" s="549" t="str">
        <f aca="false">"[fr]"&amp;E57</f>
        <v>[fr]Weiterentwicklung der Matrix: bilanz@ecogood.org (GWÖ-Matrix Entwicklungsteam);</v>
      </c>
      <c r="J57" s="549" t="str">
        <f aca="false">"[pt]"&amp;E57</f>
        <v>[pt]Weiterentwicklung der Matrix: bilanz@ecogood.org (GWÖ-Matrix Entwicklungsteam);</v>
      </c>
      <c r="K57" s="549" t="str">
        <f aca="false">"[gr]"&amp;E57</f>
        <v>[gr]Weiterentwicklung der Matrix: bilanz@ecogood.org (GWÖ-Matrix Entwicklungsteam);</v>
      </c>
    </row>
    <row r="58" customFormat="false" ht="79.35" hidden="false" customHeight="true" outlineLevel="0" collapsed="false">
      <c r="D58" s="552" t="str">
        <f aca="false">HLOOKUP($C$1,$E$1:$X$4910,ROW(D58))</f>
        <v>Excel programming: Christian Loy (christian.loy@gmx.at); Christian Kozina; Multilanguage tool: Bernhard Oberrauch</v>
      </c>
      <c r="E58" s="567" t="s">
        <v>942</v>
      </c>
      <c r="F58" s="549" t="s">
        <v>943</v>
      </c>
      <c r="G58" s="556" t="s">
        <v>944</v>
      </c>
      <c r="H58" s="549" t="s">
        <v>945</v>
      </c>
      <c r="I58" s="549" t="str">
        <f aca="false">"[fr]"&amp;E58</f>
        <v>[fr]Excel-Programmierung: Christian Loy (christian.loy@gmx.at); Christian Kozina; Multilanguage-tool: Bernhard Oberrauch</v>
      </c>
      <c r="J58" s="549" t="str">
        <f aca="false">"[pt]"&amp;E58</f>
        <v>[pt]Excel-Programmierung: Christian Loy (christian.loy@gmx.at); Christian Kozina; Multilanguage-tool: Bernhard Oberrauch</v>
      </c>
      <c r="K58" s="549" t="str">
        <f aca="false">"[gr]"&amp;E58</f>
        <v>[gr]Excel-Programmierung: Christian Loy (christian.loy@gmx.at); Christian Kozina; Multilanguage-tool: Bernhard Oberrauch</v>
      </c>
    </row>
    <row r="59" customFormat="false" ht="15.75" hidden="false" customHeight="true" outlineLevel="0" collapsed="false">
      <c r="D59" s="552" t="str">
        <f aca="false">HLOOKUP($C$1,$E$1:$X$4910,ROW(D59))</f>
        <v>Contents: ECG-Matrix Development Team</v>
      </c>
      <c r="E59" s="549" t="s">
        <v>946</v>
      </c>
      <c r="F59" s="549" t="str">
        <f aca="false">"[it]"&amp;E59</f>
        <v>[it]Inhalte: GWÖ-Matrix Entwicklungsteam</v>
      </c>
      <c r="G59" s="556" t="s">
        <v>947</v>
      </c>
      <c r="H59" s="549" t="s">
        <v>948</v>
      </c>
      <c r="I59" s="549" t="str">
        <f aca="false">"[fr]"&amp;E59</f>
        <v>[fr]Inhalte: GWÖ-Matrix Entwicklungsteam</v>
      </c>
      <c r="J59" s="549" t="str">
        <f aca="false">"[pt]"&amp;E59</f>
        <v>[pt]Inhalte: GWÖ-Matrix Entwicklungsteam</v>
      </c>
      <c r="K59" s="549" t="str">
        <f aca="false">"[gr]"&amp;E59</f>
        <v>[gr]Inhalte: GWÖ-Matrix Entwicklungsteam</v>
      </c>
    </row>
    <row r="60" customFormat="false" ht="15.75" hidden="false" customHeight="true" outlineLevel="0" collapsed="false">
      <c r="D60" s="552" t="str">
        <f aca="false">HLOOKUP($C$1,$E$1:$X$4910,ROW(D60))</f>
        <v>NOTES</v>
      </c>
      <c r="E60" s="549" t="s">
        <v>949</v>
      </c>
      <c r="F60" s="549" t="s">
        <v>950</v>
      </c>
      <c r="G60" s="556" t="s">
        <v>951</v>
      </c>
      <c r="H60" s="549" t="s">
        <v>952</v>
      </c>
      <c r="I60" s="549" t="str">
        <f aca="false">"[fr]"&amp;E60</f>
        <v>[fr]ANMERKUNGEN</v>
      </c>
      <c r="J60" s="549" t="str">
        <f aca="false">"[pt]"&amp;E60</f>
        <v>[pt]ANMERKUNGEN</v>
      </c>
      <c r="K60" s="549" t="str">
        <f aca="false">"[gr]"&amp;E60</f>
        <v>[gr]ANMERKUNGEN</v>
      </c>
    </row>
    <row r="61" customFormat="false" ht="68.25" hidden="false" customHeight="true" outlineLevel="0" collapsed="false">
      <c r="D61" s="552" t="str">
        <f aca="false">HLOOKUP($C$1,$E$1:$X$4910,ROW(D61))</f>
        <v>All sheets are optimised for printing on A4 format (landscape or portrait).
The height of rows can be adjusted, if you enter more text</v>
      </c>
      <c r="E61" s="549" t="s">
        <v>953</v>
      </c>
      <c r="F61" s="549" t="s">
        <v>954</v>
      </c>
      <c r="G61" s="556" t="s">
        <v>955</v>
      </c>
      <c r="H61" s="549" t="s">
        <v>956</v>
      </c>
      <c r="I61" s="549" t="str">
        <f aca="false">"[fr]"&amp;E61</f>
        <v>[fr]Alle Tabellen sind optimiert für den Ausdruck auf A4 (Hoch- oder Querformat).
Die Höhe der Zeilen ist veränderbar, falls Sie mehr Text eingeben wollen.</v>
      </c>
      <c r="J61" s="549" t="str">
        <f aca="false">"[pt]"&amp;E61</f>
        <v>[pt]Alle Tabellen sind optimiert für den Ausdruck auf A4 (Hoch- oder Querformat).
Die Höhe der Zeilen ist veränderbar, falls Sie mehr Text eingeben wollen.</v>
      </c>
      <c r="K61" s="549"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2" t="str">
        <f aca="false">HLOOKUP($C$1,$E$1:$X$4910,ROW(D62))</f>
        <v>GENERAL INFORMATION ABOUT THE COMPANY</v>
      </c>
      <c r="E62" s="549" t="s">
        <v>957</v>
      </c>
      <c r="F62" s="549" t="s">
        <v>958</v>
      </c>
      <c r="G62" s="556" t="s">
        <v>959</v>
      </c>
      <c r="H62" s="549" t="s">
        <v>960</v>
      </c>
      <c r="I62" s="549" t="str">
        <f aca="false">"[fr]"&amp;E62</f>
        <v>[fr]ALLGEMEINE ANGABEN ZUM UNTERNEHMEN</v>
      </c>
      <c r="J62" s="549" t="str">
        <f aca="false">"[pt]"&amp;E62</f>
        <v>[pt]ALLGEMEINE ANGABEN ZUM UNTERNEHMEN</v>
      </c>
      <c r="K62" s="549" t="str">
        <f aca="false">"[gr]"&amp;E62</f>
        <v>[gr]ALLGEMEINE ANGABEN ZUM UNTERNEHMEN</v>
      </c>
    </row>
    <row r="63" customFormat="false" ht="15.75" hidden="false" customHeight="true" outlineLevel="0" collapsed="false">
      <c r="D63" s="552" t="str">
        <f aca="false">HLOOKUP($C$1,$E$1:$X$4910,ROW(D63))</f>
        <v>Please complete all fields.</v>
      </c>
      <c r="E63" s="549" t="s">
        <v>961</v>
      </c>
      <c r="F63" s="549" t="s">
        <v>962</v>
      </c>
      <c r="G63" s="556" t="s">
        <v>963</v>
      </c>
      <c r="H63" s="549" t="s">
        <v>964</v>
      </c>
      <c r="I63" s="549" t="str">
        <f aca="false">"[fr]"&amp;E63</f>
        <v>[fr]Bitte vollständig ausfüllen!</v>
      </c>
      <c r="J63" s="549" t="str">
        <f aca="false">"[pt]"&amp;E63</f>
        <v>[pt]Bitte vollständig ausfüllen!</v>
      </c>
      <c r="K63" s="549" t="str">
        <f aca="false">"[gr]"&amp;E63</f>
        <v>[gr]Bitte vollständig ausfüllen!</v>
      </c>
    </row>
    <row r="64" customFormat="false" ht="15.75" hidden="false" customHeight="true" outlineLevel="0" collapsed="false">
      <c r="D64" s="552" t="str">
        <f aca="false">HLOOKUP($C$1,$E$1:$X$4910,ROW(D64))</f>
        <v>Name of Company / Organisation:</v>
      </c>
      <c r="E64" s="549" t="s">
        <v>965</v>
      </c>
      <c r="F64" s="549" t="s">
        <v>966</v>
      </c>
      <c r="G64" s="556" t="s">
        <v>967</v>
      </c>
      <c r="H64" s="549" t="s">
        <v>968</v>
      </c>
      <c r="I64" s="549" t="str">
        <f aca="false">"[fr]"&amp;E64</f>
        <v>[fr]Name des Unternehmens:</v>
      </c>
      <c r="J64" s="549" t="str">
        <f aca="false">"[pt]"&amp;E64</f>
        <v>[pt]Name des Unternehmens:</v>
      </c>
      <c r="K64" s="549" t="str">
        <f aca="false">"[gr]"&amp;E64</f>
        <v>[gr]Name des Unternehmens:</v>
      </c>
    </row>
    <row r="65" customFormat="false" ht="15.75" hidden="false" customHeight="true" outlineLevel="0" collapsed="false">
      <c r="D65" s="552" t="str">
        <f aca="false">HLOOKUP($C$1,$E$1:$X$4910,ROW(D65))</f>
        <v>Address:</v>
      </c>
      <c r="E65" s="549" t="s">
        <v>969</v>
      </c>
      <c r="F65" s="549" t="s">
        <v>970</v>
      </c>
      <c r="G65" s="556" t="s">
        <v>971</v>
      </c>
      <c r="H65" s="549" t="s">
        <v>972</v>
      </c>
      <c r="I65" s="549" t="str">
        <f aca="false">"[fr]"&amp;E65</f>
        <v>[fr]Anschrift:</v>
      </c>
      <c r="J65" s="549" t="str">
        <f aca="false">"[pt]"&amp;E65</f>
        <v>[pt]Anschrift:</v>
      </c>
      <c r="K65" s="549" t="str">
        <f aca="false">"[gr]"&amp;E65</f>
        <v>[gr]Anschrift:</v>
      </c>
    </row>
    <row r="66" customFormat="false" ht="15.75" hidden="false" customHeight="true" outlineLevel="0" collapsed="false">
      <c r="D66" s="552" t="str">
        <f aca="false">HLOOKUP($C$1,$E$1:$X$4910,ROW(D66))</f>
        <v>Country:</v>
      </c>
      <c r="E66" s="549" t="s">
        <v>973</v>
      </c>
      <c r="F66" s="549" t="s">
        <v>974</v>
      </c>
      <c r="G66" s="556" t="s">
        <v>975</v>
      </c>
      <c r="H66" s="549" t="s">
        <v>976</v>
      </c>
      <c r="I66" s="549" t="str">
        <f aca="false">"[fr]"&amp;E66</f>
        <v>[fr]Staat:</v>
      </c>
      <c r="J66" s="549" t="str">
        <f aca="false">"[pt]"&amp;E66</f>
        <v>[pt]Staat:</v>
      </c>
      <c r="K66" s="549" t="str">
        <f aca="false">"[gr]"&amp;E66</f>
        <v>[gr]Staat:</v>
      </c>
    </row>
    <row r="67" customFormat="false" ht="15.75" hidden="false" customHeight="true" outlineLevel="0" collapsed="false">
      <c r="D67" s="552" t="str">
        <f aca="false">HLOOKUP($C$1,$E$1:$X$4910,ROW(D67))</f>
        <v>Industry sector:</v>
      </c>
      <c r="E67" s="549" t="s">
        <v>977</v>
      </c>
      <c r="F67" s="549" t="s">
        <v>978</v>
      </c>
      <c r="G67" s="556" t="s">
        <v>979</v>
      </c>
      <c r="H67" s="549" t="s">
        <v>980</v>
      </c>
      <c r="I67" s="549" t="str">
        <f aca="false">"[fr]"&amp;E67</f>
        <v>[fr]Branche:</v>
      </c>
      <c r="J67" s="549" t="str">
        <f aca="false">"[pt]"&amp;E67</f>
        <v>[pt]Branche:</v>
      </c>
      <c r="K67" s="549" t="str">
        <f aca="false">"[gr]"&amp;E67</f>
        <v>[gr]Branche:</v>
      </c>
    </row>
    <row r="68" customFormat="false" ht="15.75" hidden="false" customHeight="true" outlineLevel="0" collapsed="false">
      <c r="D68" s="552" t="str">
        <f aca="false">HLOOKUP($C$1,$E$1:$X$4910,ROW(D68))</f>
        <v>Website:</v>
      </c>
      <c r="E68" s="549" t="s">
        <v>981</v>
      </c>
      <c r="F68" s="549" t="s">
        <v>982</v>
      </c>
      <c r="G68" s="556" t="s">
        <v>981</v>
      </c>
      <c r="H68" s="549" t="s">
        <v>983</v>
      </c>
      <c r="I68" s="549" t="str">
        <f aca="false">"[fr]"&amp;E68</f>
        <v>[fr]Website:</v>
      </c>
      <c r="J68" s="549" t="str">
        <f aca="false">"[pt]"&amp;E68</f>
        <v>[pt]Website:</v>
      </c>
      <c r="K68" s="549" t="str">
        <f aca="false">"[gr]"&amp;E68</f>
        <v>[gr]Website:</v>
      </c>
    </row>
    <row r="69" customFormat="false" ht="15.75" hidden="false" customHeight="true" outlineLevel="0" collapsed="false">
      <c r="D69" s="552" t="str">
        <f aca="false">HLOOKUP($C$1,$E$1:$X$4910,ROW(D69))</f>
        <v>Number of employees</v>
      </c>
      <c r="E69" s="549" t="s">
        <v>984</v>
      </c>
      <c r="F69" s="549" t="s">
        <v>985</v>
      </c>
      <c r="G69" s="556" t="s">
        <v>986</v>
      </c>
      <c r="H69" s="549" t="s">
        <v>987</v>
      </c>
      <c r="I69" s="549" t="str">
        <f aca="false">"[fr]"&amp;E69</f>
        <v>[fr]Anzahl der MitarbeiterInnen:</v>
      </c>
      <c r="J69" s="549" t="str">
        <f aca="false">"[pt]"&amp;E69</f>
        <v>[pt]Anzahl der MitarbeiterInnen:</v>
      </c>
      <c r="K69" s="549" t="str">
        <f aca="false">"[gr]"&amp;E69</f>
        <v>[gr]Anzahl der MitarbeiterInnen:</v>
      </c>
    </row>
    <row r="70" customFormat="false" ht="15.75" hidden="false" customHeight="true" outlineLevel="0" collapsed="false">
      <c r="D70" s="552" t="str">
        <f aca="false">HLOOKUP($C$1,$E$1:$X$4910,ROW(D70))</f>
        <v>Sole trader (ST) (or single-person)</v>
      </c>
      <c r="E70" s="549" t="s">
        <v>988</v>
      </c>
      <c r="F70" s="549" t="s">
        <v>989</v>
      </c>
      <c r="G70" s="556" t="s">
        <v>990</v>
      </c>
      <c r="H70" s="549" t="s">
        <v>991</v>
      </c>
      <c r="I70" s="549" t="str">
        <f aca="false">"[fr]"&amp;E70</f>
        <v>[fr]Ein-Personen-Unternehmen:</v>
      </c>
      <c r="J70" s="549" t="str">
        <f aca="false">"[pt]"&amp;E70</f>
        <v>[pt]Ein-Personen-Unternehmen:</v>
      </c>
      <c r="K70" s="549" t="str">
        <f aca="false">"[gr]"&amp;E70</f>
        <v>[gr]Ein-Personen-Unternehmen:</v>
      </c>
    </row>
    <row r="71" customFormat="false" ht="41.85" hidden="false" customHeight="true" outlineLevel="0" collapsed="false">
      <c r="D71" s="552" t="str">
        <f aca="false">HLOOKUP($C$1,$E$1:$X$4910,ROW(D71))</f>
        <v>(Note: If yes, the values for STs will be filled in automatically for the calculation)</v>
      </c>
      <c r="E71" s="549" t="s">
        <v>992</v>
      </c>
      <c r="F71" s="549" t="s">
        <v>993</v>
      </c>
      <c r="G71" s="556" t="s">
        <v>994</v>
      </c>
      <c r="H71" s="549" t="s">
        <v>995</v>
      </c>
      <c r="I71" s="549" t="str">
        <f aca="false">"[fr]"&amp;E71</f>
        <v>[fr](Hinweis: Wenn ja, werden die für EPUs gültigen Werte automatisch in die Berechnung übernommen.)</v>
      </c>
      <c r="J71" s="549" t="str">
        <f aca="false">"[pt]"&amp;E71</f>
        <v>[pt](Hinweis: Wenn ja, werden die für EPUs gültigen Werte automatisch in die Berechnung übernommen.)</v>
      </c>
      <c r="K71" s="549" t="str">
        <f aca="false">"[gr]"&amp;E71</f>
        <v>[gr](Hinweis: Wenn ja, werden die für EPUs gültigen Werte automatisch in die Berechnung übernommen.)</v>
      </c>
    </row>
    <row r="72" customFormat="false" ht="15.75" hidden="false" customHeight="true" outlineLevel="0" collapsed="false">
      <c r="D72" s="552" t="str">
        <f aca="false">HLOOKUP($C$1,$E$1:$X$4910,ROW(D72))</f>
        <v>Balance year:</v>
      </c>
      <c r="E72" s="549" t="s">
        <v>996</v>
      </c>
      <c r="F72" s="549" t="s">
        <v>997</v>
      </c>
      <c r="G72" s="556" t="s">
        <v>998</v>
      </c>
      <c r="H72" s="549" t="s">
        <v>999</v>
      </c>
      <c r="I72" s="549" t="str">
        <f aca="false">"[fr]"&amp;E72</f>
        <v>[fr]Bilanzjahr:</v>
      </c>
      <c r="J72" s="549" t="str">
        <f aca="false">"[pt]"&amp;E72</f>
        <v>[pt]Bilanzjahr:</v>
      </c>
      <c r="K72" s="549" t="str">
        <f aca="false">"[gr]"&amp;E72</f>
        <v>[gr]Bilanzjahr:</v>
      </c>
    </row>
    <row r="73" customFormat="false" ht="15.75" hidden="false" customHeight="true" outlineLevel="0" collapsed="false">
      <c r="D73" s="552" t="str">
        <f aca="false">HLOOKUP($C$1,$E$1:$X$4910,ROW(D73))</f>
        <v>Document created by:</v>
      </c>
      <c r="E73" s="549" t="s">
        <v>1000</v>
      </c>
      <c r="F73" s="549" t="s">
        <v>1001</v>
      </c>
      <c r="G73" s="556" t="s">
        <v>1002</v>
      </c>
      <c r="H73" s="549" t="s">
        <v>1003</v>
      </c>
      <c r="I73" s="549" t="str">
        <f aca="false">"[fr]"&amp;E73</f>
        <v>[fr]ErstellerIn:</v>
      </c>
      <c r="J73" s="549" t="str">
        <f aca="false">"[pt]"&amp;E73</f>
        <v>[pt]ErstellerIn:</v>
      </c>
      <c r="K73" s="549" t="str">
        <f aca="false">"[gr]"&amp;E73</f>
        <v>[gr]ErstellerIn:</v>
      </c>
    </row>
    <row r="74" customFormat="false" ht="15.75" hidden="false" customHeight="true" outlineLevel="0" collapsed="false">
      <c r="D74" s="552" t="str">
        <f aca="false">HLOOKUP($C$1,$E$1:$X$4910,ROW(D74))</f>
        <v>Email address:</v>
      </c>
      <c r="E74" s="549" t="s">
        <v>1004</v>
      </c>
      <c r="F74" s="549" t="s">
        <v>1005</v>
      </c>
      <c r="G74" s="556" t="s">
        <v>1006</v>
      </c>
      <c r="H74" s="549" t="s">
        <v>1007</v>
      </c>
      <c r="I74" s="549" t="str">
        <f aca="false">"[fr]"&amp;E74</f>
        <v>[fr]E-Mail-Adresse:</v>
      </c>
      <c r="J74" s="549" t="str">
        <f aca="false">"[pt]"&amp;E74</f>
        <v>[pt]E-Mail-Adresse:</v>
      </c>
      <c r="K74" s="549" t="str">
        <f aca="false">"[gr]"&amp;E74</f>
        <v>[gr]E-Mail-Adresse:</v>
      </c>
    </row>
    <row r="75" customFormat="false" ht="15.75" hidden="false" customHeight="true" outlineLevel="0" collapsed="false">
      <c r="D75" s="552" t="str">
        <f aca="false">HLOOKUP($C$1,$E$1:$X$4910,ROW(D75))</f>
        <v>Phone number:</v>
      </c>
      <c r="E75" s="549" t="s">
        <v>1008</v>
      </c>
      <c r="F75" s="549" t="s">
        <v>1009</v>
      </c>
      <c r="G75" s="556" t="s">
        <v>1010</v>
      </c>
      <c r="H75" s="549" t="s">
        <v>1011</v>
      </c>
      <c r="I75" s="549" t="str">
        <f aca="false">"[fr]"&amp;E75</f>
        <v>[fr]Telefonnummer:</v>
      </c>
      <c r="J75" s="549" t="str">
        <f aca="false">"[pt]"&amp;E75</f>
        <v>[pt]Telefonnummer:</v>
      </c>
      <c r="K75" s="549" t="str">
        <f aca="false">"[gr]"&amp;E75</f>
        <v>[gr]Telefonnummer:</v>
      </c>
    </row>
    <row r="76" customFormat="false" ht="15.75" hidden="false" customHeight="true" outlineLevel="0" collapsed="false">
      <c r="D76" s="552" t="str">
        <f aca="false">HLOOKUP($C$1,$E$1:$X$4910,ROW(D76))</f>
        <v>Consultant:</v>
      </c>
      <c r="E76" s="549" t="s">
        <v>1012</v>
      </c>
      <c r="F76" s="549" t="s">
        <v>1013</v>
      </c>
      <c r="G76" s="556" t="s">
        <v>1014</v>
      </c>
      <c r="H76" s="549" t="s">
        <v>1015</v>
      </c>
      <c r="I76" s="549" t="str">
        <f aca="false">"[fr]"&amp;E76</f>
        <v>[fr]BeraterIn:</v>
      </c>
      <c r="J76" s="549" t="str">
        <f aca="false">"[pt]"&amp;E76</f>
        <v>[pt]BeraterIn:</v>
      </c>
      <c r="K76" s="549" t="str">
        <f aca="false">"[gr]"&amp;E76</f>
        <v>[gr]BeraterIn:</v>
      </c>
    </row>
    <row r="77" customFormat="false" ht="15.75" hidden="false" customHeight="true" outlineLevel="0" collapsed="false">
      <c r="D77" s="552" t="str">
        <f aca="false">HLOOKUP($C$1,$E$1:$X$4910,ROW(D77))</f>
        <v>E-mail address:</v>
      </c>
      <c r="E77" s="549" t="s">
        <v>1004</v>
      </c>
      <c r="F77" s="549" t="s">
        <v>1005</v>
      </c>
      <c r="G77" s="556" t="s">
        <v>1016</v>
      </c>
      <c r="H77" s="549" t="s">
        <v>1007</v>
      </c>
      <c r="I77" s="549" t="str">
        <f aca="false">"[fr]"&amp;E77</f>
        <v>[fr]E-Mail-Adresse:</v>
      </c>
      <c r="J77" s="549" t="str">
        <f aca="false">"[pt]"&amp;E77</f>
        <v>[pt]E-Mail-Adresse:</v>
      </c>
      <c r="K77" s="549" t="str">
        <f aca="false">"[gr]"&amp;E77</f>
        <v>[gr]E-Mail-Adresse:</v>
      </c>
    </row>
    <row r="78" customFormat="false" ht="15.75" hidden="false" customHeight="true" outlineLevel="0" collapsed="false">
      <c r="D78" s="552" t="str">
        <f aca="false">HLOOKUP($C$1,$E$1:$X$4910,ROW(D78))</f>
        <v>Phone Number</v>
      </c>
      <c r="E78" s="549" t="s">
        <v>1008</v>
      </c>
      <c r="F78" s="549" t="s">
        <v>1009</v>
      </c>
      <c r="G78" s="556" t="s">
        <v>1017</v>
      </c>
      <c r="H78" s="549" t="s">
        <v>1011</v>
      </c>
      <c r="I78" s="549" t="str">
        <f aca="false">"[fr]"&amp;E78</f>
        <v>[fr]Telefonnummer:</v>
      </c>
      <c r="J78" s="549" t="str">
        <f aca="false">"[pt]"&amp;E78</f>
        <v>[pt]Telefonnummer:</v>
      </c>
      <c r="K78" s="549" t="str">
        <f aca="false">"[gr]"&amp;E78</f>
        <v>[gr]Telefonnummer:</v>
      </c>
    </row>
    <row r="79" customFormat="false" ht="28.5" hidden="false" customHeight="true" outlineLevel="0" collapsed="false">
      <c r="D79" s="552" t="str">
        <f aca="false">HLOOKUP($C$1,$E$1:$X$4910,ROW(D79))</f>
        <v>Short description of Company / Organisation</v>
      </c>
      <c r="E79" s="549" t="s">
        <v>1018</v>
      </c>
      <c r="F79" s="549" t="s">
        <v>1019</v>
      </c>
      <c r="G79" s="556" t="s">
        <v>1020</v>
      </c>
      <c r="H79" s="549" t="s">
        <v>1021</v>
      </c>
      <c r="I79" s="549" t="str">
        <f aca="false">"[fr]"&amp;E79</f>
        <v>[fr]Kurzbeschreibung
des Unternehmens:</v>
      </c>
      <c r="J79" s="549" t="str">
        <f aca="false">"[pt]"&amp;E79</f>
        <v>[pt]Kurzbeschreibung
des Unternehmens:</v>
      </c>
      <c r="K79" s="549" t="str">
        <f aca="false">"[gr]"&amp;E79</f>
        <v>[gr]Kurzbeschreibung
des Unternehmens:</v>
      </c>
    </row>
    <row r="80" customFormat="false" ht="15.75" hidden="false" customHeight="true" outlineLevel="0" collapsed="false">
      <c r="D80" s="552" t="str">
        <f aca="false">HLOOKUP($C$1,$E$1:$X$4910,ROW(D80))</f>
        <v>Additional comments:</v>
      </c>
      <c r="E80" s="549" t="s">
        <v>1022</v>
      </c>
      <c r="F80" s="549" t="s">
        <v>1023</v>
      </c>
      <c r="G80" s="556" t="s">
        <v>1024</v>
      </c>
      <c r="H80" s="549" t="s">
        <v>1025</v>
      </c>
      <c r="I80" s="549" t="str">
        <f aca="false">"[fr]"&amp;E80</f>
        <v>[fr]Sonstige Anmerkungen:</v>
      </c>
      <c r="J80" s="549" t="str">
        <f aca="false">"[pt]"&amp;E80</f>
        <v>[pt]Sonstige Anmerkungen:</v>
      </c>
      <c r="K80" s="549" t="str">
        <f aca="false">"[gr]"&amp;E80</f>
        <v>[gr]Sonstige Anmerkungen:</v>
      </c>
    </row>
    <row r="81" customFormat="false" ht="15.75" hidden="false" customHeight="true" outlineLevel="0" collapsed="false">
      <c r="D81" s="552" t="str">
        <f aca="false">HLOOKUP($C$1,$E$1:$X$4910,ROW(D81))</f>
        <v>CALCULATION OF INDIVIDUAL INDICATORS</v>
      </c>
      <c r="E81" s="555" t="s">
        <v>1026</v>
      </c>
      <c r="F81" s="549" t="s">
        <v>1027</v>
      </c>
      <c r="G81" s="556" t="s">
        <v>1028</v>
      </c>
      <c r="H81" s="549" t="s">
        <v>1029</v>
      </c>
      <c r="I81" s="549" t="str">
        <f aca="false">"[fr]"&amp;E81</f>
        <v>[fr]BERECHNUNG DER EINZELNEN THEMEN</v>
      </c>
      <c r="J81" s="549" t="str">
        <f aca="false">"[pt]"&amp;E81</f>
        <v>[pt]BERECHNUNG DER EINZELNEN THEMEN</v>
      </c>
      <c r="K81" s="549" t="str">
        <f aca="false">"[gr]"&amp;E81</f>
        <v>[gr]BERECHNUNG DER EINZELNEN THEMEN</v>
      </c>
    </row>
    <row r="82" customFormat="false" ht="15.75" hidden="false" customHeight="true" outlineLevel="0" collapsed="false">
      <c r="D82" s="552" t="str">
        <f aca="false">HLOOKUP($C$1,$E$1:$X$4910,ROW(D82))</f>
        <v>Company / Organisation</v>
      </c>
      <c r="E82" s="549" t="s">
        <v>1030</v>
      </c>
      <c r="F82" s="549" t="s">
        <v>1031</v>
      </c>
      <c r="G82" s="556" t="s">
        <v>1032</v>
      </c>
      <c r="H82" s="549" t="s">
        <v>1033</v>
      </c>
      <c r="I82" s="549" t="str">
        <f aca="false">"[fr]"&amp;E82</f>
        <v>[fr]Unternehmen</v>
      </c>
      <c r="J82" s="549" t="s">
        <v>1034</v>
      </c>
      <c r="K82" s="549" t="str">
        <f aca="false">"[gr]"&amp;E82</f>
        <v>[gr]Unternehmen</v>
      </c>
    </row>
    <row r="83" customFormat="false" ht="15.75" hidden="false" customHeight="true" outlineLevel="0" collapsed="false">
      <c r="D83" s="552" t="str">
        <f aca="false">HLOOKUP($C$1,$E$1:$X$4910,ROW(D83))</f>
        <v>Period under review</v>
      </c>
      <c r="E83" s="549" t="s">
        <v>1035</v>
      </c>
      <c r="F83" s="549" t="s">
        <v>1036</v>
      </c>
      <c r="G83" s="556" t="s">
        <v>1037</v>
      </c>
      <c r="H83" s="549" t="s">
        <v>999</v>
      </c>
      <c r="I83" s="549" t="str">
        <f aca="false">"[fr]"&amp;E83</f>
        <v>[fr]Bilanz-Jahr</v>
      </c>
      <c r="J83" s="549" t="s">
        <v>1038</v>
      </c>
      <c r="K83" s="549" t="str">
        <f aca="false">"[gr]"&amp;E83</f>
        <v>[gr]Bilanz-Jahr</v>
      </c>
    </row>
    <row r="84" customFormat="false" ht="15.75" hidden="false" customHeight="true" outlineLevel="0" collapsed="false">
      <c r="D84" s="552" t="n">
        <f aca="false">HLOOKUP($C$1,$E$1:$X$4910,ROW(D84))</f>
        <v>0</v>
      </c>
      <c r="E84" s="549"/>
      <c r="G84" s="556"/>
      <c r="H84" s="549"/>
      <c r="I84" s="549"/>
      <c r="J84" s="549"/>
      <c r="K84" s="549"/>
    </row>
    <row r="85" customFormat="false" ht="15.75" hidden="false" customHeight="true" outlineLevel="0" collapsed="false">
      <c r="D85" s="552" t="n">
        <f aca="false">HLOOKUP($C$1,$E$1:$X$4910,ROW(D85))</f>
        <v>0</v>
      </c>
      <c r="E85" s="549"/>
      <c r="G85" s="556"/>
      <c r="H85" s="549"/>
      <c r="I85" s="549"/>
      <c r="J85" s="549"/>
      <c r="K85" s="549"/>
    </row>
    <row r="86" customFormat="false" ht="15.75" hidden="false" customHeight="true" outlineLevel="0" collapsed="false">
      <c r="D86" s="552" t="n">
        <f aca="false">HLOOKUP($C$1,$E$1:$X$4910,ROW(D86))</f>
        <v>0</v>
      </c>
      <c r="E86" s="549"/>
      <c r="G86" s="556"/>
      <c r="H86" s="549"/>
      <c r="I86" s="549"/>
      <c r="J86" s="549"/>
      <c r="K86" s="549"/>
    </row>
    <row r="87" customFormat="false" ht="15.75" hidden="false" customHeight="true" outlineLevel="0" collapsed="false">
      <c r="D87" s="552" t="n">
        <f aca="false">HLOOKUP($C$1,$E$1:$X$4910,ROW(D87))</f>
        <v>0</v>
      </c>
      <c r="E87" s="549"/>
      <c r="G87" s="556"/>
      <c r="H87" s="549"/>
      <c r="I87" s="549"/>
      <c r="J87" s="549"/>
      <c r="K87" s="549"/>
    </row>
    <row r="88" customFormat="false" ht="15.75" hidden="false" customHeight="true" outlineLevel="0" collapsed="false">
      <c r="D88" s="552" t="n">
        <f aca="false">HLOOKUP($C$1,$E$1:$X$4910,ROW(D88))</f>
        <v>0</v>
      </c>
      <c r="E88" s="549"/>
      <c r="G88" s="556"/>
      <c r="H88" s="549"/>
      <c r="I88" s="549"/>
      <c r="J88" s="549"/>
      <c r="K88" s="549"/>
    </row>
    <row r="89" customFormat="false" ht="15.75" hidden="false" customHeight="true" outlineLevel="0" collapsed="false">
      <c r="D89" s="552" t="n">
        <f aca="false">HLOOKUP($C$1,$E$1:$X$4910,ROW(D89))</f>
        <v>0</v>
      </c>
      <c r="E89" s="549"/>
      <c r="G89" s="556"/>
      <c r="H89" s="549"/>
      <c r="I89" s="549"/>
      <c r="J89" s="549"/>
      <c r="K89" s="549"/>
    </row>
    <row r="90" customFormat="false" ht="15.75" hidden="false" customHeight="true" outlineLevel="0" collapsed="false">
      <c r="D90" s="552" t="str">
        <f aca="false">HLOOKUP($C$1,$E$1:$X$4910,ROW(D90))</f>
        <v>CALCULATION OF INDIVIDUAL ASPECTS</v>
      </c>
      <c r="E90" s="549" t="s">
        <v>1039</v>
      </c>
      <c r="F90" s="549" t="s">
        <v>1040</v>
      </c>
      <c r="G90" s="556" t="s">
        <v>1041</v>
      </c>
      <c r="H90" s="549" t="s">
        <v>1042</v>
      </c>
      <c r="I90" s="549" t="str">
        <f aca="false">"[fr]"&amp;E90</f>
        <v>[fr]BERECHNUNG DER EINZELNEN ASPEKTE</v>
      </c>
      <c r="J90" s="568" t="s">
        <v>1043</v>
      </c>
      <c r="K90" s="549" t="str">
        <f aca="false">"[gr]"&amp;E90</f>
        <v>[gr]BERECHNUNG DER EINZELNEN ASPEKTE</v>
      </c>
    </row>
    <row r="91" customFormat="false" ht="15.75" hidden="false" customHeight="true" outlineLevel="0" collapsed="false">
      <c r="D91" s="552" t="str">
        <f aca="false">HLOOKUP($C$1,$E$1:$X$4910,ROW(D91))</f>
        <v>Common Good Balance Calculator</v>
      </c>
      <c r="E91" s="549" t="s">
        <v>1044</v>
      </c>
      <c r="F91" s="557" t="s">
        <v>1045</v>
      </c>
      <c r="G91" s="556" t="s">
        <v>1046</v>
      </c>
      <c r="H91" s="549" t="s">
        <v>1047</v>
      </c>
      <c r="I91" s="549" t="str">
        <f aca="false">"[fr]"&amp;E91</f>
        <v>[fr]Gemeinwohl-Bilanz-Rechner</v>
      </c>
      <c r="J91" s="549" t="s">
        <v>1048</v>
      </c>
      <c r="K91" s="549" t="str">
        <f aca="false">"[gr]"&amp;E91</f>
        <v>[gr]Gemeinwohl-Bilanz-Rechner</v>
      </c>
    </row>
    <row r="92" customFormat="false" ht="15.75" hidden="false" customHeight="true" outlineLevel="0" collapsed="false">
      <c r="D92" s="552" t="str">
        <f aca="false">HLOOKUP($C$1,$E$1:$X$4910,ROW(D92))</f>
        <v>Total Balance Score:</v>
      </c>
      <c r="E92" s="549" t="s">
        <v>1049</v>
      </c>
      <c r="F92" s="549" t="s">
        <v>1050</v>
      </c>
      <c r="G92" s="556" t="s">
        <v>1051</v>
      </c>
      <c r="H92" s="549" t="s">
        <v>1052</v>
      </c>
      <c r="I92" s="549" t="str">
        <f aca="false">"[fr]"&amp;E92</f>
        <v>[fr]BILANZSUMME:</v>
      </c>
      <c r="J92" s="549" t="s">
        <v>1053</v>
      </c>
      <c r="K92" s="549" t="str">
        <f aca="false">"[gr]"&amp;E92</f>
        <v>[gr]BILANZSUMME:</v>
      </c>
    </row>
    <row r="93" customFormat="false" ht="15.75" hidden="false" customHeight="true" outlineLevel="0" collapsed="false">
      <c r="D93" s="552" t="str">
        <f aca="false">HLOOKUP($C$1,$E$1:$X$4910,ROW(D93))</f>
        <v>No.</v>
      </c>
      <c r="E93" s="549" t="s">
        <v>1054</v>
      </c>
      <c r="F93" s="549" t="s">
        <v>1055</v>
      </c>
      <c r="G93" s="556" t="s">
        <v>1056</v>
      </c>
      <c r="H93" s="549" t="s">
        <v>1057</v>
      </c>
      <c r="I93" s="549" t="str">
        <f aca="false">"[fr]"&amp;E93</f>
        <v>[fr]Nr.</v>
      </c>
      <c r="J93" s="549" t="str">
        <f aca="false">"[pt]"&amp;E93</f>
        <v>[pt]Nr.</v>
      </c>
      <c r="K93" s="549" t="str">
        <f aca="false">"[gr]"&amp;E93</f>
        <v>[gr]Nr.</v>
      </c>
    </row>
    <row r="94" customFormat="false" ht="15.75" hidden="false" customHeight="true" outlineLevel="0" collapsed="false">
      <c r="D94" s="552" t="str">
        <f aca="false">HLOOKUP($C$1,$E$1:$X$4910,ROW(D94))</f>
        <v>Stakeholders</v>
      </c>
      <c r="E94" s="549" t="s">
        <v>1058</v>
      </c>
      <c r="F94" s="549" t="s">
        <v>1059</v>
      </c>
      <c r="G94" s="556" t="s">
        <v>1060</v>
      </c>
      <c r="H94" s="549" t="s">
        <v>1061</v>
      </c>
      <c r="I94" s="549" t="str">
        <f aca="false">"[fr]"&amp;E94</f>
        <v>[fr]Berührungsgruppe</v>
      </c>
      <c r="J94" s="549" t="str">
        <f aca="false">"[pt]"&amp;E94</f>
        <v>[pt]Berührungsgruppe</v>
      </c>
      <c r="K94" s="549" t="str">
        <f aca="false">"[gr]"&amp;E94</f>
        <v>[gr]Berührungsgruppe</v>
      </c>
    </row>
    <row r="95" customFormat="false" ht="15.75" hidden="false" customHeight="true" outlineLevel="0" collapsed="false">
      <c r="D95" s="552" t="str">
        <f aca="false">HLOOKUP($C$1,$E$1:$X$4910,ROW(D95))</f>
        <v>Stakeholders/Indicators/Criteria</v>
      </c>
      <c r="E95" s="555" t="s">
        <v>1062</v>
      </c>
      <c r="F95" s="549" t="s">
        <v>1063</v>
      </c>
      <c r="G95" s="556" t="s">
        <v>1064</v>
      </c>
      <c r="H95" s="549" t="s">
        <v>1065</v>
      </c>
      <c r="I95" s="549" t="str">
        <f aca="false">"[fr]"&amp;E95</f>
        <v>[fr]Berührungsgruppe/Themen/Aspekte</v>
      </c>
      <c r="J95" s="549" t="str">
        <f aca="false">"[pt]"&amp;E95</f>
        <v>[pt]Berührungsgruppe/Themen/Aspekte</v>
      </c>
      <c r="K95" s="549" t="str">
        <f aca="false">"[gr]"&amp;E95</f>
        <v>[gr]Berührungsgruppe/Themen/Aspekte</v>
      </c>
    </row>
    <row r="96" customFormat="false" ht="15.75" hidden="false" customHeight="true" outlineLevel="0" collapsed="false">
      <c r="D96" s="552" t="str">
        <f aca="false">HLOOKUP($C$1,$E$1:$X$4910,ROW(D96))</f>
        <v>Weight</v>
      </c>
      <c r="E96" s="549" t="s">
        <v>1066</v>
      </c>
      <c r="F96" s="549" t="s">
        <v>1067</v>
      </c>
      <c r="G96" s="556" t="s">
        <v>1068</v>
      </c>
      <c r="H96" s="549" t="s">
        <v>1069</v>
      </c>
      <c r="I96" s="549" t="str">
        <f aca="false">"[fr]"&amp;E96</f>
        <v>[fr]Gewichtung</v>
      </c>
      <c r="J96" s="549" t="s">
        <v>1067</v>
      </c>
      <c r="K96" s="549" t="str">
        <f aca="false">"[gr]"&amp;E96</f>
        <v>[gr]Gewichtung</v>
      </c>
    </row>
    <row r="97" customFormat="false" ht="15.75" hidden="false" customHeight="true" outlineLevel="0" collapsed="false">
      <c r="C97" s="569" t="n">
        <v>4</v>
      </c>
      <c r="D97" s="552" t="str">
        <f aca="false">HLOOKUP($C$1,$E$1:$X$4910,ROW(D97))</f>
        <v>very high</v>
      </c>
      <c r="E97" s="549" t="s">
        <v>168</v>
      </c>
      <c r="F97" s="549" t="s">
        <v>1070</v>
      </c>
      <c r="G97" s="556" t="s">
        <v>1071</v>
      </c>
      <c r="H97" s="549" t="s">
        <v>1072</v>
      </c>
      <c r="I97" s="549" t="str">
        <f aca="false">"[fr]"&amp;E97</f>
        <v>[fr]sehr hoch</v>
      </c>
      <c r="J97" s="549" t="str">
        <f aca="false">"[pt]"&amp;E97</f>
        <v>[pt]sehr hoch</v>
      </c>
      <c r="K97" s="549" t="str">
        <f aca="false">"[gr]"&amp;E97</f>
        <v>[gr]sehr hoch</v>
      </c>
    </row>
    <row r="98" customFormat="false" ht="15.75" hidden="false" customHeight="true" outlineLevel="0" collapsed="false">
      <c r="C98" s="569" t="n">
        <v>3</v>
      </c>
      <c r="D98" s="552" t="str">
        <f aca="false">HLOOKUP($C$1,$E$1:$X$4910,ROW(D98))</f>
        <v>high</v>
      </c>
      <c r="E98" s="549" t="s">
        <v>167</v>
      </c>
      <c r="F98" s="549" t="s">
        <v>1073</v>
      </c>
      <c r="G98" s="556" t="s">
        <v>1074</v>
      </c>
      <c r="H98" s="549" t="s">
        <v>1075</v>
      </c>
      <c r="I98" s="549" t="str">
        <f aca="false">"[fr]"&amp;E98</f>
        <v>[fr]hoch</v>
      </c>
      <c r="J98" s="549" t="str">
        <f aca="false">"[pt]"&amp;E98</f>
        <v>[pt]hoch</v>
      </c>
      <c r="K98" s="549" t="str">
        <f aca="false">"[gr]"&amp;E98</f>
        <v>[gr]hoch</v>
      </c>
    </row>
    <row r="99" customFormat="false" ht="15.75" hidden="false" customHeight="true" outlineLevel="0" collapsed="false">
      <c r="C99" s="569" t="n">
        <v>2</v>
      </c>
      <c r="D99" s="552" t="str">
        <f aca="false">HLOOKUP($C$1,$E$1:$X$4910,ROW(D99))</f>
        <v>medium</v>
      </c>
      <c r="E99" s="549" t="s">
        <v>166</v>
      </c>
      <c r="F99" s="549" t="s">
        <v>1076</v>
      </c>
      <c r="G99" s="556" t="s">
        <v>1077</v>
      </c>
      <c r="H99" s="549" t="s">
        <v>1078</v>
      </c>
      <c r="I99" s="549" t="str">
        <f aca="false">"[fr]"&amp;E99</f>
        <v>[fr]mittel</v>
      </c>
      <c r="J99" s="549" t="str">
        <f aca="false">"[pt]"&amp;E99</f>
        <v>[pt]mittel</v>
      </c>
      <c r="K99" s="549" t="str">
        <f aca="false">"[gr]"&amp;E99</f>
        <v>[gr]mittel</v>
      </c>
    </row>
    <row r="100" customFormat="false" ht="15.75" hidden="false" customHeight="true" outlineLevel="0" collapsed="false">
      <c r="C100" s="569" t="n">
        <v>1</v>
      </c>
      <c r="D100" s="552" t="str">
        <f aca="false">HLOOKUP($C$1,$E$1:$X$4910,ROW(D100))</f>
        <v>low</v>
      </c>
      <c r="E100" s="549" t="s">
        <v>165</v>
      </c>
      <c r="F100" s="549" t="s">
        <v>1079</v>
      </c>
      <c r="G100" s="556" t="s">
        <v>1080</v>
      </c>
      <c r="H100" s="549" t="s">
        <v>1081</v>
      </c>
      <c r="I100" s="549" t="str">
        <f aca="false">"[fr]"&amp;E100</f>
        <v>[fr]niedrig</v>
      </c>
      <c r="J100" s="549" t="str">
        <f aca="false">"[pt]"&amp;E100</f>
        <v>[pt]niedrig</v>
      </c>
      <c r="K100" s="549" t="str">
        <f aca="false">"[gr]"&amp;E100</f>
        <v>[gr]niedrig</v>
      </c>
    </row>
    <row r="101" customFormat="false" ht="15.75" hidden="false" customHeight="true" outlineLevel="0" collapsed="false">
      <c r="C101" s="569" t="n">
        <v>0</v>
      </c>
      <c r="D101" s="552" t="str">
        <f aca="false">HLOOKUP($C$1,$E$1:$X$4910,ROW(D101))</f>
        <v>not applicable</v>
      </c>
      <c r="E101" s="549" t="s">
        <v>164</v>
      </c>
      <c r="F101" s="549" t="s">
        <v>1082</v>
      </c>
      <c r="G101" s="556" t="s">
        <v>1083</v>
      </c>
      <c r="H101" s="549" t="s">
        <v>1084</v>
      </c>
      <c r="I101" s="549" t="str">
        <f aca="false">"[fr]"&amp;E101</f>
        <v>[fr]trifft nicht zu</v>
      </c>
      <c r="J101" s="549" t="str">
        <f aca="false">"[pt]"&amp;E101</f>
        <v>[pt]trifft nicht zu</v>
      </c>
      <c r="K101" s="549" t="str">
        <f aca="false">"[gr]"&amp;E101</f>
        <v>[gr]trifft nicht zu</v>
      </c>
    </row>
    <row r="102" customFormat="false" ht="15.75" hidden="false" customHeight="true" outlineLevel="0" collapsed="false">
      <c r="D102" s="552" t="str">
        <f aca="false">HLOOKUP($C$1,$E$1:$X$4910,ROW(D102))</f>
        <v>Current status</v>
      </c>
      <c r="E102" s="555" t="s">
        <v>1085</v>
      </c>
      <c r="F102" s="549" t="s">
        <v>1086</v>
      </c>
      <c r="G102" s="556" t="s">
        <v>1087</v>
      </c>
      <c r="H102" s="549" t="s">
        <v>1088</v>
      </c>
      <c r="I102" s="549" t="str">
        <f aca="false">"[fr]"&amp;E102</f>
        <v>[fr]Erläuterung</v>
      </c>
      <c r="J102" s="570" t="s">
        <v>1089</v>
      </c>
      <c r="K102" s="549" t="str">
        <f aca="false">"[gr]"&amp;E102</f>
        <v>[gr]Erläuterung</v>
      </c>
    </row>
    <row r="103" customFormat="false" ht="15.75" hidden="false" customHeight="true" outlineLevel="0" collapsed="false">
      <c r="D103" s="552" t="str">
        <f aca="false">HLOOKUP($C$1,$E$1:$X$4910,ROW(D103))</f>
        <v>Potential for improvement</v>
      </c>
      <c r="E103" s="549" t="s">
        <v>1090</v>
      </c>
      <c r="F103" s="549" t="s">
        <v>1091</v>
      </c>
      <c r="G103" s="556" t="s">
        <v>1092</v>
      </c>
      <c r="H103" s="549" t="s">
        <v>1093</v>
      </c>
      <c r="I103" s="549" t="str">
        <f aca="false">"[fr]"&amp;E103</f>
        <v>[fr]Verbesserungspotenzial</v>
      </c>
      <c r="J103" s="549" t="s">
        <v>1094</v>
      </c>
      <c r="K103" s="549" t="str">
        <f aca="false">"[gr]"&amp;E103</f>
        <v>[gr]Verbesserungspotenzial</v>
      </c>
    </row>
    <row r="104" customFormat="false" ht="15.75" hidden="false" customHeight="true" outlineLevel="0" collapsed="false">
      <c r="D104" s="552" t="str">
        <f aca="false">HLOOKUP($C$1,$E$1:$X$4910,ROW(D104))</f>
        <v>Est%</v>
      </c>
      <c r="E104" s="549" t="s">
        <v>1095</v>
      </c>
      <c r="F104" s="549" t="s">
        <v>1096</v>
      </c>
      <c r="G104" s="556" t="s">
        <v>1097</v>
      </c>
      <c r="H104" s="549" t="s">
        <v>1098</v>
      </c>
      <c r="I104" s="549" t="str">
        <f aca="false">"[fr]"&amp;E104</f>
        <v>[fr]Erfüll.</v>
      </c>
      <c r="J104" s="549" t="str">
        <f aca="false">"[pt]"&amp;E104</f>
        <v>[pt]Erfüll.</v>
      </c>
      <c r="K104" s="549" t="str">
        <f aca="false">"[gr]"&amp;E104</f>
        <v>[gr]Erfüll.</v>
      </c>
    </row>
    <row r="105" customFormat="false" ht="15.75" hidden="false" customHeight="true" outlineLevel="0" collapsed="false">
      <c r="D105" s="552" t="str">
        <f aca="false">HLOOKUP($C$1,$E$1:$X$4910,ROW(D105))</f>
        <v>Points</v>
      </c>
      <c r="E105" s="549" t="s">
        <v>1099</v>
      </c>
      <c r="F105" s="549" t="s">
        <v>1100</v>
      </c>
      <c r="G105" s="556" t="s">
        <v>1101</v>
      </c>
      <c r="H105" s="549" t="s">
        <v>1102</v>
      </c>
      <c r="I105" s="549" t="str">
        <f aca="false">"[fr]"&amp;E105</f>
        <v>[fr]Pkte</v>
      </c>
      <c r="J105" s="549" t="str">
        <f aca="false">"[pt]"&amp;E105</f>
        <v>[pt]Pkte</v>
      </c>
      <c r="K105" s="549" t="str">
        <f aca="false">"[gr]"&amp;E105</f>
        <v>[gr]Pkte</v>
      </c>
    </row>
    <row r="106" customFormat="false" ht="15.75" hidden="false" customHeight="true" outlineLevel="0" collapsed="false">
      <c r="D106" s="552" t="str">
        <f aca="false">HLOOKUP($C$1,$E$1:$X$4910,ROW(D106))</f>
        <v>Max.</v>
      </c>
      <c r="E106" s="549" t="s">
        <v>1103</v>
      </c>
      <c r="F106" s="549" t="s">
        <v>1103</v>
      </c>
      <c r="G106" s="556" t="s">
        <v>1103</v>
      </c>
      <c r="H106" s="549" t="s">
        <v>1103</v>
      </c>
      <c r="I106" s="549" t="str">
        <f aca="false">"[fr]"&amp;E106</f>
        <v>[fr]Max.</v>
      </c>
      <c r="J106" s="549" t="str">
        <f aca="false">"[pt]"&amp;E106</f>
        <v>[pt]Max.</v>
      </c>
      <c r="K106" s="549" t="str">
        <f aca="false">"[gr]"&amp;E106</f>
        <v>[gr]Max.</v>
      </c>
    </row>
    <row r="107" customFormat="false" ht="15.75" hidden="false" customHeight="true" outlineLevel="0" collapsed="false">
      <c r="D107" s="552" t="str">
        <f aca="false">HLOOKUP($C$1,$E$1:$X$4910,ROW(D107))</f>
        <v>Stakeholders/ Themes/ Aspects</v>
      </c>
      <c r="E107" s="549" t="s">
        <v>1062</v>
      </c>
      <c r="F107" s="549" t="s">
        <v>1104</v>
      </c>
      <c r="G107" s="556" t="s">
        <v>1105</v>
      </c>
      <c r="H107" s="549" t="s">
        <v>1065</v>
      </c>
      <c r="I107" s="549" t="str">
        <f aca="false">"[fr]"&amp;E107</f>
        <v>[fr]Berührungsgruppe/Themen/Aspekte</v>
      </c>
      <c r="J107" s="549" t="s">
        <v>1106</v>
      </c>
      <c r="K107" s="549" t="str">
        <f aca="false">"[gr]"&amp;E107</f>
        <v>[gr]Berührungsgruppe/Themen/Aspekte</v>
      </c>
    </row>
    <row r="108" customFormat="false" ht="15.75" hidden="false" customHeight="true" outlineLevel="0" collapsed="false">
      <c r="B108" s="571" t="str">
        <f aca="false">C108&amp;": "&amp;D108</f>
        <v>A: Suppliers</v>
      </c>
      <c r="C108" s="572" t="s">
        <v>28</v>
      </c>
      <c r="D108" s="552" t="str">
        <f aca="false">HLOOKUP($C$1,$E$1:$X$4910,ROW(D108))</f>
        <v>Suppliers</v>
      </c>
      <c r="E108" s="573" t="s">
        <v>1107</v>
      </c>
      <c r="F108" s="574" t="s">
        <v>1108</v>
      </c>
      <c r="G108" s="556" t="s">
        <v>1109</v>
      </c>
      <c r="H108" s="549" t="s">
        <v>1110</v>
      </c>
      <c r="I108" s="549" t="str">
        <f aca="false">"[fr]"&amp;E108</f>
        <v>[fr]Lieferant*innen</v>
      </c>
      <c r="J108" s="575" t="s">
        <v>1111</v>
      </c>
      <c r="K108" s="549" t="str">
        <f aca="false">"[gr]"&amp;E108</f>
        <v>[gr]Lieferant*innen</v>
      </c>
    </row>
    <row r="109" customFormat="false" ht="28.5" hidden="false" customHeight="true" outlineLevel="0" collapsed="false">
      <c r="B109" s="548" t="str">
        <f aca="false">C109&amp;": "&amp;D109</f>
        <v>A1: Human dignity in the supply chain</v>
      </c>
      <c r="C109" s="576" t="s">
        <v>29</v>
      </c>
      <c r="D109" s="552" t="str">
        <f aca="false">HLOOKUP($C$1,$E$1:$X$4910,ROW(D109))</f>
        <v>Human dignity in the supply chain</v>
      </c>
      <c r="E109" s="577" t="s">
        <v>1112</v>
      </c>
      <c r="F109" s="578" t="s">
        <v>1113</v>
      </c>
      <c r="G109" s="556" t="s">
        <v>1114</v>
      </c>
      <c r="H109" s="549" t="s">
        <v>1115</v>
      </c>
      <c r="I109" s="549" t="str">
        <f aca="false">"[fr]"&amp;E109</f>
        <v>[fr]Menschenwürde in der Zulieferkette</v>
      </c>
      <c r="J109" s="579" t="s">
        <v>1116</v>
      </c>
      <c r="K109" s="549" t="str">
        <f aca="false">"[gr]"&amp;E109</f>
        <v>[gr]Menschenwürde in der Zulieferkette</v>
      </c>
    </row>
    <row r="110" customFormat="false" ht="28.5" hidden="false" customHeight="true" outlineLevel="0" collapsed="false">
      <c r="C110" s="580" t="s">
        <v>30</v>
      </c>
      <c r="D110" s="552" t="str">
        <f aca="false">HLOOKUP($C$1,$E$1:$X$4910,ROW(D110))</f>
        <v>Working conditions and social impact in the supply chain</v>
      </c>
      <c r="E110" s="580" t="s">
        <v>1117</v>
      </c>
      <c r="F110" s="549" t="s">
        <v>1118</v>
      </c>
      <c r="G110" s="556" t="s">
        <v>1119</v>
      </c>
      <c r="H110" s="549" t="s">
        <v>1120</v>
      </c>
      <c r="I110" s="549" t="str">
        <f aca="false">"[fr]"&amp;E110</f>
        <v>[fr]Arbeitsbedingungen und gesellschaftliche Auswirkungen in der Zulieferkette</v>
      </c>
      <c r="J110" s="581" t="s">
        <v>1121</v>
      </c>
      <c r="K110" s="549" t="str">
        <f aca="false">"[gr]"&amp;E110</f>
        <v>[gr]Arbeitsbedingungen und gesellschaftliche Auswirkungen in der Zulieferkette</v>
      </c>
    </row>
    <row r="111" customFormat="false" ht="28.5" hidden="false" customHeight="true" outlineLevel="0" collapsed="false">
      <c r="C111" s="580" t="s">
        <v>31</v>
      </c>
      <c r="D111" s="552" t="str">
        <f aca="false">HLOOKUP($C$1,$E$1:$X$4910,ROW(D111))</f>
        <v>Negative aspect: violation of human dignity in the supply chain</v>
      </c>
      <c r="E111" s="580" t="s">
        <v>1122</v>
      </c>
      <c r="F111" s="556" t="s">
        <v>1123</v>
      </c>
      <c r="G111" s="556" t="s">
        <v>1124</v>
      </c>
      <c r="H111" s="549" t="s">
        <v>1125</v>
      </c>
      <c r="I111" s="549" t="str">
        <f aca="false">"[fr]"&amp;E111</f>
        <v>[fr]Negativ-Aspekt: Verletzung der Menschenwürde in der Zulieferkette</v>
      </c>
      <c r="J111" s="581" t="s">
        <v>1126</v>
      </c>
      <c r="K111" s="549" t="str">
        <f aca="false">"[gr]"&amp;E111</f>
        <v>[gr]Negativ-Aspekt: Verletzung der Menschenwürde in der Zulieferkette</v>
      </c>
    </row>
    <row r="112" customFormat="false" ht="28.5" hidden="false" customHeight="true" outlineLevel="0" collapsed="false">
      <c r="B112" s="548" t="str">
        <f aca="false">C112&amp;": "&amp;D112</f>
        <v>A2: Solidarity and social justice in the supply chain</v>
      </c>
      <c r="C112" s="576" t="s">
        <v>32</v>
      </c>
      <c r="D112" s="552" t="str">
        <f aca="false">HLOOKUP($C$1,$E$1:$X$4910,ROW(D112))</f>
        <v>Solidarity and social justice in the supply chain</v>
      </c>
      <c r="E112" s="577" t="s">
        <v>1127</v>
      </c>
      <c r="F112" s="578" t="s">
        <v>1128</v>
      </c>
      <c r="G112" s="556" t="s">
        <v>1129</v>
      </c>
      <c r="H112" s="549" t="s">
        <v>1130</v>
      </c>
      <c r="I112" s="549" t="str">
        <f aca="false">"[fr]"&amp;E112</f>
        <v>[fr]Solidarität und Gerechtigkeit in der Zulieferkette</v>
      </c>
      <c r="J112" s="579" t="s">
        <v>1131</v>
      </c>
      <c r="K112" s="549" t="str">
        <f aca="false">"[gr]"&amp;E112</f>
        <v>[gr]Solidarität und Gerechtigkeit in der Zulieferkette</v>
      </c>
    </row>
    <row r="113" customFormat="false" ht="28.5" hidden="false" customHeight="true" outlineLevel="0" collapsed="false">
      <c r="C113" s="580" t="s">
        <v>33</v>
      </c>
      <c r="D113" s="552" t="str">
        <f aca="false">HLOOKUP($C$1,$E$1:$X$4910,ROW(D113))</f>
        <v>Fair business practices towards direct suppliers</v>
      </c>
      <c r="E113" s="580" t="s">
        <v>1132</v>
      </c>
      <c r="F113" s="549" t="s">
        <v>1133</v>
      </c>
      <c r="G113" s="556" t="s">
        <v>1134</v>
      </c>
      <c r="H113" s="549" t="s">
        <v>1135</v>
      </c>
      <c r="I113" s="549" t="str">
        <f aca="false">"[fr]"&amp;E113</f>
        <v>[fr]Faire Geschäftsbeziehungen zu direkten Lieferant*innen</v>
      </c>
      <c r="J113" s="581" t="s">
        <v>1136</v>
      </c>
      <c r="K113" s="549" t="str">
        <f aca="false">"[gr]"&amp;E113</f>
        <v>[gr]Faire Geschäftsbeziehungen zu direkten Lieferant*innen</v>
      </c>
    </row>
    <row r="114" customFormat="false" ht="28.5" hidden="false" customHeight="true" outlineLevel="0" collapsed="false">
      <c r="C114" s="580" t="s">
        <v>34</v>
      </c>
      <c r="D114" s="552" t="str">
        <f aca="false">HLOOKUP($C$1,$E$1:$X$4910,ROW(D114))</f>
        <v>Exercising a positive influence on solidarity and social justice in the supply chain</v>
      </c>
      <c r="E114" s="580" t="s">
        <v>1137</v>
      </c>
      <c r="F114" s="549" t="s">
        <v>1138</v>
      </c>
      <c r="G114" s="556" t="s">
        <v>1139</v>
      </c>
      <c r="H114" s="549" t="s">
        <v>1140</v>
      </c>
      <c r="I114" s="549" t="str">
        <f aca="false">"[fr]"&amp;E114</f>
        <v>[fr]Positive Einflussnahme auf Solidarität und Gerechtigkeit in der gesamten Zulieferkette</v>
      </c>
      <c r="J114" s="581" t="s">
        <v>1141</v>
      </c>
      <c r="K114" s="549" t="str">
        <f aca="false">"[gr]"&amp;E114</f>
        <v>[gr]Positive Einflussnahme auf Solidarität und Gerechtigkeit in der gesamten Zulieferkette</v>
      </c>
    </row>
    <row r="115" customFormat="false" ht="28.5" hidden="false" customHeight="true" outlineLevel="0" collapsed="false">
      <c r="C115" s="580" t="s">
        <v>35</v>
      </c>
      <c r="D115" s="552" t="str">
        <f aca="false">HLOOKUP($C$1,$E$1:$X$4910,ROW(D115))</f>
        <v>Negative aspect: abuse of market power against suppliers</v>
      </c>
      <c r="E115" s="580" t="s">
        <v>1142</v>
      </c>
      <c r="F115" s="549" t="s">
        <v>1143</v>
      </c>
      <c r="G115" s="556" t="s">
        <v>1144</v>
      </c>
      <c r="H115" s="549" t="s">
        <v>1145</v>
      </c>
      <c r="I115" s="549" t="str">
        <f aca="false">"[fr]"&amp;E115</f>
        <v>[fr]Negativ-Aspekt: Ausnutzung der Marktmacht gegenüber Lieferant*innen</v>
      </c>
      <c r="J115" s="581" t="s">
        <v>1146</v>
      </c>
      <c r="K115" s="549" t="str">
        <f aca="false">"[gr]"&amp;E115</f>
        <v>[gr]Negativ-Aspekt: Ausnutzung der Marktmacht gegenüber Lieferant*innen</v>
      </c>
    </row>
    <row r="116" customFormat="false" ht="28.5" hidden="false" customHeight="true" outlineLevel="0" collapsed="false">
      <c r="B116" s="548" t="str">
        <f aca="false">C116&amp;": "&amp;D116</f>
        <v>A3: Environmental sustainability in the supply chain</v>
      </c>
      <c r="C116" s="576" t="s">
        <v>36</v>
      </c>
      <c r="D116" s="552" t="str">
        <f aca="false">HLOOKUP($C$1,$E$1:$X$4910,ROW(D116))</f>
        <v>Environmental sustainability in the supply chain</v>
      </c>
      <c r="E116" s="577" t="s">
        <v>1147</v>
      </c>
      <c r="F116" s="578" t="s">
        <v>1148</v>
      </c>
      <c r="G116" s="556" t="s">
        <v>1149</v>
      </c>
      <c r="H116" s="549" t="s">
        <v>1150</v>
      </c>
      <c r="I116" s="549" t="str">
        <f aca="false">"[fr]"&amp;E116</f>
        <v>[fr]Ökologische Nachhaltigkeit in der Zulieferkette</v>
      </c>
      <c r="J116" s="579" t="s">
        <v>1151</v>
      </c>
      <c r="K116" s="549" t="str">
        <f aca="false">"[gr]"&amp;E116</f>
        <v>[gr]Ökologische Nachhaltigkeit in der Zulieferkette</v>
      </c>
    </row>
    <row r="117" customFormat="false" ht="28.5" hidden="false" customHeight="true" outlineLevel="0" collapsed="false">
      <c r="C117" s="580" t="s">
        <v>37</v>
      </c>
      <c r="D117" s="552" t="str">
        <f aca="false">HLOOKUP($C$1,$E$1:$X$4910,ROW(D117))</f>
        <v>Environmental impact throughout the supply chain</v>
      </c>
      <c r="E117" s="580" t="s">
        <v>1152</v>
      </c>
      <c r="F117" s="549" t="s">
        <v>1153</v>
      </c>
      <c r="G117" s="556" t="s">
        <v>1154</v>
      </c>
      <c r="H117" s="549" t="s">
        <v>1155</v>
      </c>
      <c r="I117" s="549" t="str">
        <f aca="false">"[fr]"&amp;E117</f>
        <v>[fr]Umweltauswirkungen in der Zulieferkette</v>
      </c>
      <c r="J117" s="581" t="s">
        <v>1156</v>
      </c>
      <c r="K117" s="549" t="str">
        <f aca="false">"[gr]"&amp;E117</f>
        <v>[gr]Umweltauswirkungen in der Zulieferkette</v>
      </c>
    </row>
    <row r="118" customFormat="false" ht="41.85" hidden="false" customHeight="true" outlineLevel="0" collapsed="false">
      <c r="C118" s="580" t="s">
        <v>38</v>
      </c>
      <c r="D118" s="552" t="str">
        <f aca="false">HLOOKUP($C$1,$E$1:$X$4910,ROW(D118))</f>
        <v>Negative aspect: disproportionate environmental impact throughout the supply chain</v>
      </c>
      <c r="E118" s="580" t="s">
        <v>1157</v>
      </c>
      <c r="F118" s="549" t="s">
        <v>1158</v>
      </c>
      <c r="G118" s="556" t="s">
        <v>1159</v>
      </c>
      <c r="H118" s="549" t="s">
        <v>1160</v>
      </c>
      <c r="I118" s="549" t="str">
        <f aca="false">"[fr]"&amp;E118</f>
        <v>[fr]Negativ-Aspekt:Unverhältnismäßig hohe Umweltauswirkungen in der Zulieferkette</v>
      </c>
      <c r="J118" s="581" t="s">
        <v>1161</v>
      </c>
      <c r="K118" s="549" t="str">
        <f aca="false">"[gr]"&amp;E118</f>
        <v>[gr]Negativ-Aspekt:Unverhältnismäßig hohe Umweltauswirkungen in der Zulieferkette</v>
      </c>
    </row>
    <row r="119" customFormat="false" ht="41.85" hidden="false" customHeight="true" outlineLevel="0" collapsed="false">
      <c r="B119" s="548" t="str">
        <f aca="false">C119&amp;": "&amp;D119</f>
        <v>A4: Transparency &amp; co-determination in the supply chain</v>
      </c>
      <c r="C119" s="576" t="s">
        <v>39</v>
      </c>
      <c r="D119" s="552" t="str">
        <f aca="false">HLOOKUP($C$1,$E$1:$X$4910,ROW(D119))</f>
        <v>Transparency &amp; co-determination in the supply chain</v>
      </c>
      <c r="E119" s="577" t="s">
        <v>1162</v>
      </c>
      <c r="F119" s="578" t="s">
        <v>1163</v>
      </c>
      <c r="G119" s="556" t="s">
        <v>1164</v>
      </c>
      <c r="H119" s="549" t="s">
        <v>1165</v>
      </c>
      <c r="I119" s="549" t="str">
        <f aca="false">"[fr]"&amp;E119</f>
        <v>[fr]Transparenz und Mitentscheidung in der Zulieferkette</v>
      </c>
      <c r="J119" s="579" t="s">
        <v>1166</v>
      </c>
      <c r="K119" s="549" t="str">
        <f aca="false">"[gr]"&amp;E119</f>
        <v>[gr]Transparenz und Mitentscheidung in der Zulieferkette</v>
      </c>
    </row>
    <row r="120" customFormat="false" ht="28.5" hidden="false" customHeight="true" outlineLevel="0" collapsed="false">
      <c r="C120" s="580" t="s">
        <v>40</v>
      </c>
      <c r="D120" s="552" t="str">
        <f aca="false">HLOOKUP($C$1,$E$1:$X$4910,ROW(D120))</f>
        <v>Transparency towards suppliers and their right to co-determination</v>
      </c>
      <c r="E120" s="580" t="s">
        <v>1167</v>
      </c>
      <c r="F120" s="549" t="s">
        <v>1168</v>
      </c>
      <c r="G120" s="556" t="s">
        <v>1169</v>
      </c>
      <c r="H120" s="549" t="s">
        <v>1170</v>
      </c>
      <c r="I120" s="549" t="str">
        <f aca="false">"[fr]"&amp;E120</f>
        <v>[fr]Transparenz und Mitentscheidungsrechte für Lieferant*innen</v>
      </c>
      <c r="J120" s="582" t="s">
        <v>1171</v>
      </c>
      <c r="K120" s="549" t="str">
        <f aca="false">"[gr]"&amp;E120</f>
        <v>[gr]Transparenz und Mitentscheidungsrechte für Lieferant*innen</v>
      </c>
    </row>
    <row r="121" customFormat="false" ht="38.85" hidden="false" customHeight="true" outlineLevel="0" collapsed="false">
      <c r="C121" s="580" t="s">
        <v>41</v>
      </c>
      <c r="D121" s="552" t="str">
        <f aca="false">HLOOKUP($C$1,$E$1:$X$4910,ROW(D121))</f>
        <v>Positive influence on transparency and co-determination throughout the supply chain</v>
      </c>
      <c r="E121" s="580" t="s">
        <v>1172</v>
      </c>
      <c r="F121" s="549" t="s">
        <v>1173</v>
      </c>
      <c r="G121" s="556" t="s">
        <v>1174</v>
      </c>
      <c r="H121" s="549" t="s">
        <v>1175</v>
      </c>
      <c r="I121" s="549" t="str">
        <f aca="false">"[fr]"&amp;E121</f>
        <v>[fr]Positive Einflussnahme auf Transparenz und Mitentscheidung in der gesamten Zulieferkette</v>
      </c>
      <c r="J121" s="582" t="s">
        <v>1176</v>
      </c>
      <c r="K121" s="549" t="str">
        <f aca="false">"[gr]"&amp;E121</f>
        <v>[gr]Positive Einflussnahme auf Transparenz und Mitentscheidung in der gesamten Zulieferkette</v>
      </c>
    </row>
    <row r="122" customFormat="false" ht="28.5" hidden="false" customHeight="true" outlineLevel="0" collapsed="false">
      <c r="B122" s="571" t="str">
        <f aca="false">C122&amp;": "&amp;D122</f>
        <v>B: Owners, equity- and financial service providers</v>
      </c>
      <c r="C122" s="572" t="s">
        <v>42</v>
      </c>
      <c r="D122" s="552" t="str">
        <f aca="false">HLOOKUP($C$1,$E$1:$X$4910,ROW(D122))</f>
        <v>Owners, equity- and financial service providers</v>
      </c>
      <c r="E122" s="583" t="s">
        <v>1177</v>
      </c>
      <c r="F122" s="574" t="s">
        <v>1178</v>
      </c>
      <c r="G122" s="556" t="s">
        <v>1179</v>
      </c>
      <c r="H122" s="549" t="s">
        <v>1180</v>
      </c>
      <c r="I122" s="549" t="str">
        <f aca="false">"[fr]"&amp;E122</f>
        <v>[fr]Eigentümer*innen und Finanzpartner*innen</v>
      </c>
      <c r="J122" s="575" t="s">
        <v>1181</v>
      </c>
      <c r="K122" s="549" t="str">
        <f aca="false">"[gr]"&amp;E122</f>
        <v>[gr]Eigentümer*innen und Finanzpartner*innen</v>
      </c>
    </row>
    <row r="123" customFormat="false" ht="28.5" hidden="false" customHeight="true" outlineLevel="0" collapsed="false">
      <c r="B123" s="548" t="str">
        <f aca="false">C123&amp;": "&amp;D123</f>
        <v>B1: Ethical position in relation to financial resources</v>
      </c>
      <c r="C123" s="576" t="s">
        <v>43</v>
      </c>
      <c r="D123" s="552" t="str">
        <f aca="false">HLOOKUP($C$1,$E$1:$X$4910,ROW(D123))</f>
        <v>Ethical position in relation to financial resources</v>
      </c>
      <c r="E123" s="577" t="s">
        <v>1182</v>
      </c>
      <c r="F123" s="578" t="s">
        <v>1183</v>
      </c>
      <c r="G123" s="556" t="s">
        <v>1184</v>
      </c>
      <c r="H123" s="549" t="s">
        <v>1185</v>
      </c>
      <c r="I123" s="549" t="str">
        <f aca="false">"[fr]"&amp;E123</f>
        <v>[fr]Ethische Haltung im Umgang mit Geldmitteln</v>
      </c>
      <c r="J123" s="584" t="s">
        <v>1186</v>
      </c>
      <c r="K123" s="569"/>
      <c r="L123" s="569"/>
    </row>
    <row r="124" customFormat="false" ht="28.5" hidden="false" customHeight="true" outlineLevel="0" collapsed="false">
      <c r="C124" s="585" t="s">
        <v>44</v>
      </c>
      <c r="D124" s="552" t="str">
        <f aca="false">HLOOKUP($C$1,$E$1:$X$4910,ROW(D124))</f>
        <v>Financial independence through equity financing</v>
      </c>
      <c r="E124" s="580" t="s">
        <v>1187</v>
      </c>
      <c r="F124" s="549" t="s">
        <v>1188</v>
      </c>
      <c r="G124" s="556" t="s">
        <v>1189</v>
      </c>
      <c r="H124" s="549" t="s">
        <v>1190</v>
      </c>
      <c r="I124" s="549" t="str">
        <f aca="false">"[fr]"&amp;E124</f>
        <v>[fr]Finanzielle Unabhängigkeit durch Eigenfinanzierung</v>
      </c>
      <c r="J124" s="586" t="s">
        <v>1191</v>
      </c>
      <c r="K124" s="569"/>
      <c r="L124" s="569"/>
    </row>
    <row r="125" customFormat="false" ht="28.5" hidden="false" customHeight="true" outlineLevel="0" collapsed="false">
      <c r="C125" s="56" t="s">
        <v>45</v>
      </c>
      <c r="D125" s="552" t="str">
        <f aca="false">HLOOKUP($C$1,$E$1:$X$4910,ROW(D125))</f>
        <v>Common Good-orientated borrowing</v>
      </c>
      <c r="E125" s="587" t="s">
        <v>1192</v>
      </c>
      <c r="F125" s="549" t="s">
        <v>1193</v>
      </c>
      <c r="G125" s="556" t="s">
        <v>1194</v>
      </c>
      <c r="H125" s="549" t="s">
        <v>1195</v>
      </c>
      <c r="I125" s="549" t="str">
        <f aca="false">"[fr]"&amp;E125</f>
        <v>[fr]Gemeinwohlorientierte Fremdfinanzierung</v>
      </c>
      <c r="J125" s="586" t="s">
        <v>1196</v>
      </c>
      <c r="K125" s="569"/>
      <c r="L125" s="569"/>
    </row>
    <row r="126" customFormat="false" ht="28.5" hidden="false" customHeight="true" outlineLevel="0" collapsed="false">
      <c r="C126" s="56" t="s">
        <v>46</v>
      </c>
      <c r="D126" s="552" t="str">
        <f aca="false">HLOOKUP($C$1,$E$1:$X$4910,ROW(D126))</f>
        <v>Ethical position of external financial partners</v>
      </c>
      <c r="E126" s="587" t="s">
        <v>1197</v>
      </c>
      <c r="F126" s="549" t="s">
        <v>1198</v>
      </c>
      <c r="G126" s="556" t="s">
        <v>1199</v>
      </c>
      <c r="H126" s="549" t="s">
        <v>1200</v>
      </c>
      <c r="I126" s="549" t="str">
        <f aca="false">"[fr]"&amp;E126</f>
        <v>[fr]Ethische Haltung externer Finanzpartner*innen</v>
      </c>
      <c r="J126" s="586" t="s">
        <v>1201</v>
      </c>
      <c r="K126" s="569"/>
      <c r="L126" s="569"/>
    </row>
    <row r="127" customFormat="false" ht="28.5" hidden="false" customHeight="true" outlineLevel="0" collapsed="false">
      <c r="B127" s="548" t="str">
        <f aca="false">C127&amp;": "&amp;D127</f>
        <v>B2: Social position in relation to financial resources</v>
      </c>
      <c r="C127" s="576" t="s">
        <v>47</v>
      </c>
      <c r="D127" s="552" t="str">
        <f aca="false">HLOOKUP($C$1,$E$1:$X$4910,ROW(D127))</f>
        <v>Social position in relation to financial resources</v>
      </c>
      <c r="E127" s="577" t="s">
        <v>1202</v>
      </c>
      <c r="F127" s="578" t="s">
        <v>1203</v>
      </c>
      <c r="G127" s="556" t="s">
        <v>1204</v>
      </c>
      <c r="H127" s="549" t="s">
        <v>1205</v>
      </c>
      <c r="I127" s="549" t="str">
        <f aca="false">"[fr]"&amp;E127</f>
        <v>[fr]Soziale Haltung im Umgang mit Geldmitteln</v>
      </c>
      <c r="J127" s="584" t="s">
        <v>1206</v>
      </c>
      <c r="K127" s="569"/>
      <c r="L127" s="569"/>
    </row>
    <row r="128" customFormat="false" ht="28.5" hidden="false" customHeight="true" outlineLevel="0" collapsed="false">
      <c r="C128" s="585" t="s">
        <v>48</v>
      </c>
      <c r="D128" s="552" t="str">
        <f aca="false">HLOOKUP($C$1,$E$1:$X$4910,ROW(D128))</f>
        <v>Solidarity and Common Good-orientated use of funds</v>
      </c>
      <c r="E128" s="580" t="s">
        <v>1207</v>
      </c>
      <c r="F128" s="549" t="s">
        <v>1208</v>
      </c>
      <c r="G128" s="556" t="s">
        <v>1209</v>
      </c>
      <c r="H128" s="549" t="s">
        <v>1210</v>
      </c>
      <c r="I128" s="549" t="str">
        <f aca="false">"[fr]"&amp;E128</f>
        <v>[fr]Solidarische und gemeinwohlorientierte Mittelverwendung</v>
      </c>
      <c r="J128" s="586" t="s">
        <v>1211</v>
      </c>
      <c r="K128" s="569"/>
      <c r="L128" s="569"/>
    </row>
    <row r="129" customFormat="false" ht="28.5" hidden="false" customHeight="true" outlineLevel="0" collapsed="false">
      <c r="C129" s="56" t="s">
        <v>49</v>
      </c>
      <c r="D129" s="552" t="str">
        <f aca="false">HLOOKUP($C$1,$E$1:$X$4910,ROW(D129))</f>
        <v>Negative aspect: unfair distribution of funds</v>
      </c>
      <c r="E129" s="587" t="s">
        <v>1212</v>
      </c>
      <c r="F129" s="549" t="s">
        <v>1213</v>
      </c>
      <c r="G129" s="556" t="s">
        <v>1214</v>
      </c>
      <c r="H129" s="549" t="s">
        <v>1215</v>
      </c>
      <c r="I129" s="549" t="str">
        <f aca="false">"[fr]"&amp;E129</f>
        <v>[fr]Negativ-Aspekt: Unfaire Verteilung von Geldmittel</v>
      </c>
      <c r="J129" s="586" t="s">
        <v>1216</v>
      </c>
      <c r="K129" s="569"/>
      <c r="L129" s="569"/>
    </row>
    <row r="130" customFormat="false" ht="28.5" hidden="false" customHeight="true" outlineLevel="0" collapsed="false">
      <c r="B130" s="548" t="str">
        <f aca="false">C130&amp;": "&amp;D130</f>
        <v>B3: Use of funds in relation to social and environmental impacts</v>
      </c>
      <c r="C130" s="576" t="s">
        <v>50</v>
      </c>
      <c r="D130" s="552" t="str">
        <f aca="false">HLOOKUP($C$1,$E$1:$X$4910,ROW(D130))</f>
        <v>Use of funds in relation to social and environmental impacts</v>
      </c>
      <c r="E130" s="577" t="s">
        <v>1217</v>
      </c>
      <c r="F130" s="578" t="s">
        <v>1218</v>
      </c>
      <c r="G130" s="556" t="s">
        <v>1219</v>
      </c>
      <c r="H130" s="549" t="s">
        <v>1220</v>
      </c>
      <c r="I130" s="549" t="str">
        <f aca="false">"[fr]"&amp;E130</f>
        <v>[fr]Sozial-ökologische Investitionen und Mittelverwendung</v>
      </c>
      <c r="J130" s="584" t="s">
        <v>1221</v>
      </c>
      <c r="K130" s="569"/>
      <c r="L130" s="569"/>
    </row>
    <row r="131" customFormat="false" ht="15.75" hidden="false" customHeight="true" outlineLevel="0" collapsed="false">
      <c r="C131" s="585" t="s">
        <v>51</v>
      </c>
      <c r="D131" s="552" t="str">
        <f aca="false">HLOOKUP($C$1,$E$1:$X$4910,ROW(D131))</f>
        <v>Environmental quality of investments</v>
      </c>
      <c r="E131" s="580" t="s">
        <v>1222</v>
      </c>
      <c r="F131" s="549" t="s">
        <v>1223</v>
      </c>
      <c r="G131" s="556" t="s">
        <v>1224</v>
      </c>
      <c r="H131" s="549" t="s">
        <v>1225</v>
      </c>
      <c r="I131" s="549" t="str">
        <f aca="false">"[fr]"&amp;E131</f>
        <v>[fr]Ökologische Qualität der Investitionen</v>
      </c>
      <c r="J131" s="586" t="s">
        <v>1226</v>
      </c>
      <c r="K131" s="569"/>
      <c r="L131" s="569"/>
    </row>
    <row r="132" customFormat="false" ht="15.75" hidden="false" customHeight="true" outlineLevel="0" collapsed="false">
      <c r="C132" s="56" t="s">
        <v>52</v>
      </c>
      <c r="D132" s="552" t="str">
        <f aca="false">HLOOKUP($C$1,$E$1:$X$4910,ROW(D132))</f>
        <v>Common Good-orientated investment</v>
      </c>
      <c r="E132" s="587" t="s">
        <v>1227</v>
      </c>
      <c r="F132" s="549" t="s">
        <v>1228</v>
      </c>
      <c r="G132" s="556" t="s">
        <v>1229</v>
      </c>
      <c r="H132" s="549" t="s">
        <v>1230</v>
      </c>
      <c r="I132" s="549" t="str">
        <f aca="false">"[fr]"&amp;E132</f>
        <v>[fr]Gemeinwohlorientierte Veranlagung</v>
      </c>
      <c r="J132" s="586" t="s">
        <v>1231</v>
      </c>
      <c r="K132" s="569"/>
      <c r="L132" s="569"/>
    </row>
    <row r="133" customFormat="false" ht="28.5" hidden="false" customHeight="true" outlineLevel="0" collapsed="false">
      <c r="C133" s="56" t="s">
        <v>53</v>
      </c>
      <c r="D133" s="552" t="str">
        <f aca="false">HLOOKUP($C$1,$E$1:$X$4910,ROW(D133))</f>
        <v>Negative aspect: reliance on environmentally unsafe resources</v>
      </c>
      <c r="E133" s="587" t="s">
        <v>1232</v>
      </c>
      <c r="F133" s="549" t="s">
        <v>1233</v>
      </c>
      <c r="G133" s="556" t="s">
        <v>1234</v>
      </c>
      <c r="H133" s="549" t="s">
        <v>1235</v>
      </c>
      <c r="I133" s="549" t="str">
        <f aca="false">"[fr]"&amp;E133</f>
        <v>[fr]Negativ-Aspekt: Abhängigkeit von ökologisch bedenklichen Ressourcen</v>
      </c>
      <c r="J133" s="586" t="s">
        <v>1236</v>
      </c>
      <c r="K133" s="569"/>
      <c r="L133" s="569"/>
    </row>
    <row r="134" customFormat="false" ht="28.5" hidden="false" customHeight="true" outlineLevel="0" collapsed="false">
      <c r="B134" s="548" t="str">
        <f aca="false">C134&amp;": "&amp;D134</f>
        <v>B4: Ownership and co-determination</v>
      </c>
      <c r="C134" s="576" t="s">
        <v>54</v>
      </c>
      <c r="D134" s="552" t="str">
        <f aca="false">HLOOKUP($C$1,$E$1:$X$4910,ROW(D134))</f>
        <v>Ownership and co-determination</v>
      </c>
      <c r="E134" s="577" t="s">
        <v>1237</v>
      </c>
      <c r="F134" s="578" t="s">
        <v>1238</v>
      </c>
      <c r="G134" s="556" t="s">
        <v>1239</v>
      </c>
      <c r="H134" s="549" t="s">
        <v>1240</v>
      </c>
      <c r="I134" s="549" t="str">
        <f aca="false">"[fr]"&amp;E134</f>
        <v>[fr]Eigentum und Mitentscheidung</v>
      </c>
      <c r="J134" s="584" t="s">
        <v>1241</v>
      </c>
      <c r="K134" s="569"/>
      <c r="L134" s="569"/>
    </row>
    <row r="135" customFormat="false" ht="28.5" hidden="false" customHeight="true" outlineLevel="0" collapsed="false">
      <c r="C135" s="585" t="s">
        <v>55</v>
      </c>
      <c r="D135" s="552" t="str">
        <f aca="false">HLOOKUP($C$1,$E$1:$X$4910,ROW(D135))</f>
        <v>Common Good-orientated ownership structure</v>
      </c>
      <c r="E135" s="580" t="s">
        <v>1242</v>
      </c>
      <c r="F135" s="549" t="s">
        <v>1243</v>
      </c>
      <c r="G135" s="556" t="s">
        <v>1244</v>
      </c>
      <c r="H135" s="549" t="s">
        <v>1245</v>
      </c>
      <c r="I135" s="549" t="str">
        <f aca="false">"[fr]"&amp;E135</f>
        <v>[fr]Gemeinwohlorientierte Eigentumsstruktur</v>
      </c>
      <c r="J135" s="586" t="s">
        <v>1246</v>
      </c>
      <c r="K135" s="569"/>
      <c r="L135" s="569"/>
    </row>
    <row r="136" customFormat="false" ht="28.5" hidden="false" customHeight="true" outlineLevel="0" collapsed="false">
      <c r="C136" s="56" t="s">
        <v>56</v>
      </c>
      <c r="D136" s="552" t="str">
        <f aca="false">HLOOKUP($C$1,$E$1:$X$4910,ROW(D136))</f>
        <v>Negative aspect: hostile takeover</v>
      </c>
      <c r="E136" s="587" t="s">
        <v>1247</v>
      </c>
      <c r="F136" s="549" t="s">
        <v>1248</v>
      </c>
      <c r="G136" s="556" t="s">
        <v>1249</v>
      </c>
      <c r="H136" s="549" t="s">
        <v>1250</v>
      </c>
      <c r="I136" s="549" t="str">
        <f aca="false">"[fr]"&amp;E136</f>
        <v>[fr]Negativ-Aspekt: Feindliche Übernahme</v>
      </c>
      <c r="J136" s="586" t="s">
        <v>1251</v>
      </c>
      <c r="K136" s="569"/>
      <c r="L136" s="569"/>
    </row>
    <row r="137" customFormat="false" ht="15.75" hidden="false" customHeight="true" outlineLevel="0" collapsed="false">
      <c r="B137" s="571" t="str">
        <f aca="false">C137&amp;": "&amp;D137</f>
        <v>C: Employees</v>
      </c>
      <c r="C137" s="572" t="s">
        <v>57</v>
      </c>
      <c r="D137" s="552" t="str">
        <f aca="false">HLOOKUP($C$1,$E$1:$X$4910,ROW(D137))</f>
        <v>Employees</v>
      </c>
      <c r="E137" s="583" t="s">
        <v>1252</v>
      </c>
      <c r="F137" s="574" t="s">
        <v>1253</v>
      </c>
      <c r="G137" s="556" t="s">
        <v>1254</v>
      </c>
      <c r="H137" s="549" t="s">
        <v>1255</v>
      </c>
      <c r="I137" s="549" t="str">
        <f aca="false">"[fr]"&amp;E137</f>
        <v>[fr]Mitarbeitende</v>
      </c>
      <c r="J137" s="588" t="s">
        <v>1256</v>
      </c>
      <c r="K137" s="549" t="str">
        <f aca="false">"[gr]"&amp;E137</f>
        <v>[gr]Mitarbeitende</v>
      </c>
    </row>
    <row r="138" customFormat="false" ht="28.5" hidden="false" customHeight="true" outlineLevel="0" collapsed="false">
      <c r="B138" s="548" t="str">
        <f aca="false">C138&amp;": "&amp;D138</f>
        <v>C1: Human dignity in the workplace and working environment</v>
      </c>
      <c r="C138" s="576" t="s">
        <v>58</v>
      </c>
      <c r="D138" s="552" t="str">
        <f aca="false">HLOOKUP($C$1,$E$1:$X$4910,ROW(D138))</f>
        <v>Human dignity in the workplace and working environment</v>
      </c>
      <c r="E138" s="577" t="s">
        <v>1257</v>
      </c>
      <c r="F138" s="578" t="s">
        <v>1258</v>
      </c>
      <c r="G138" s="556" t="s">
        <v>1259</v>
      </c>
      <c r="H138" s="549" t="s">
        <v>1260</v>
      </c>
      <c r="I138" s="549" t="str">
        <f aca="false">"[fr]"&amp;E138</f>
        <v>[fr]Menschenwürde am Arbeitsplatz</v>
      </c>
      <c r="J138" s="584" t="s">
        <v>1261</v>
      </c>
      <c r="K138" s="569"/>
      <c r="L138" s="569"/>
    </row>
    <row r="139" customFormat="false" ht="28.5" hidden="false" customHeight="true" outlineLevel="0" collapsed="false">
      <c r="C139" s="580" t="s">
        <v>59</v>
      </c>
      <c r="D139" s="552" t="str">
        <f aca="false">HLOOKUP($C$1,$E$1:$X$4910,ROW(D139))</f>
        <v>Employee-focused organisational culture</v>
      </c>
      <c r="E139" s="580" t="s">
        <v>1262</v>
      </c>
      <c r="F139" s="549" t="s">
        <v>1263</v>
      </c>
      <c r="G139" s="556" t="s">
        <v>1264</v>
      </c>
      <c r="H139" s="549" t="s">
        <v>1265</v>
      </c>
      <c r="I139" s="549" t="str">
        <f aca="false">"[fr]"&amp;E139</f>
        <v>[fr]Mitarbeiterorientierte Unternehmenskultur</v>
      </c>
      <c r="J139" s="586" t="s">
        <v>1266</v>
      </c>
      <c r="K139" s="569"/>
      <c r="L139" s="569"/>
    </row>
    <row r="140" customFormat="false" ht="28.5" hidden="false" customHeight="true" outlineLevel="0" collapsed="false">
      <c r="C140" s="587" t="s">
        <v>60</v>
      </c>
      <c r="D140" s="552" t="str">
        <f aca="false">HLOOKUP($C$1,$E$1:$X$4910,ROW(D140))</f>
        <v>Health promotion and occupational health and safety</v>
      </c>
      <c r="E140" s="587" t="s">
        <v>1267</v>
      </c>
      <c r="F140" s="549" t="s">
        <v>1268</v>
      </c>
      <c r="G140" s="556" t="s">
        <v>1269</v>
      </c>
      <c r="H140" s="549" t="s">
        <v>1270</v>
      </c>
      <c r="I140" s="549" t="str">
        <f aca="false">"[fr]"&amp;E140</f>
        <v>[fr]Gesundheitsförderung und Arbeitsschutz</v>
      </c>
      <c r="J140" s="586" t="s">
        <v>1271</v>
      </c>
      <c r="K140" s="569"/>
      <c r="L140" s="569"/>
    </row>
    <row r="141" customFormat="false" ht="15.75" hidden="false" customHeight="true" outlineLevel="0" collapsed="false">
      <c r="C141" s="587" t="s">
        <v>61</v>
      </c>
      <c r="D141" s="552" t="str">
        <f aca="false">HLOOKUP($C$1,$E$1:$X$4910,ROW(D141))</f>
        <v>Diversity and equal opportunities</v>
      </c>
      <c r="E141" s="587" t="s">
        <v>1272</v>
      </c>
      <c r="F141" s="549" t="s">
        <v>1273</v>
      </c>
      <c r="G141" s="556" t="s">
        <v>1274</v>
      </c>
      <c r="H141" s="549" t="s">
        <v>1275</v>
      </c>
      <c r="I141" s="549" t="str">
        <f aca="false">"[fr]"&amp;E141</f>
        <v>[fr]Diversität und Chancengleichheit</v>
      </c>
      <c r="J141" s="586" t="s">
        <v>1276</v>
      </c>
      <c r="K141" s="569"/>
      <c r="L141" s="569"/>
    </row>
    <row r="142" customFormat="false" ht="28.5" hidden="false" customHeight="true" outlineLevel="0" collapsed="false">
      <c r="C142" s="589" t="s">
        <v>62</v>
      </c>
      <c r="D142" s="552" t="str">
        <f aca="false">HLOOKUP($C$1,$E$1:$X$4910,ROW(D142))</f>
        <v>Negative aspect: unfit working conditions</v>
      </c>
      <c r="E142" s="589" t="s">
        <v>1277</v>
      </c>
      <c r="F142" s="549" t="s">
        <v>1278</v>
      </c>
      <c r="G142" s="556" t="s">
        <v>1279</v>
      </c>
      <c r="H142" s="549" t="s">
        <v>1280</v>
      </c>
      <c r="I142" s="549" t="str">
        <f aca="false">"[fr]"&amp;E142</f>
        <v>[fr]Negativ-Aspekt: Menschenunwürdige Arbeitsbedingungen</v>
      </c>
      <c r="J142" s="586" t="s">
        <v>1281</v>
      </c>
      <c r="K142" s="569"/>
      <c r="L142" s="569"/>
    </row>
    <row r="143" customFormat="false" ht="28.5" hidden="false" customHeight="true" outlineLevel="0" collapsed="false">
      <c r="B143" s="548" t="str">
        <f aca="false">C143&amp;": "&amp;D143</f>
        <v>C2: Self-determined working arrangements</v>
      </c>
      <c r="C143" s="576" t="s">
        <v>63</v>
      </c>
      <c r="D143" s="552" t="str">
        <f aca="false">HLOOKUP($C$1,$E$1:$X$4910,ROW(D143))</f>
        <v>Self-determined working arrangements</v>
      </c>
      <c r="E143" s="577" t="s">
        <v>1282</v>
      </c>
      <c r="F143" s="578" t="s">
        <v>1283</v>
      </c>
      <c r="G143" s="556" t="s">
        <v>1284</v>
      </c>
      <c r="H143" s="549" t="s">
        <v>1285</v>
      </c>
      <c r="I143" s="549" t="str">
        <f aca="false">"[fr]"&amp;E143</f>
        <v>[fr]Ausgestaltung der Arbeitsverträge</v>
      </c>
      <c r="J143" s="584" t="s">
        <v>1286</v>
      </c>
      <c r="K143" s="569"/>
      <c r="L143" s="569"/>
    </row>
    <row r="144" customFormat="false" ht="15.75" hidden="false" customHeight="true" outlineLevel="0" collapsed="false">
      <c r="C144" s="585" t="s">
        <v>64</v>
      </c>
      <c r="D144" s="552" t="str">
        <f aca="false">HLOOKUP($C$1,$E$1:$X$4910,ROW(D144))</f>
        <v>Pay structure</v>
      </c>
      <c r="E144" s="580" t="s">
        <v>1287</v>
      </c>
      <c r="F144" s="549" t="s">
        <v>1288</v>
      </c>
      <c r="G144" s="556" t="s">
        <v>1289</v>
      </c>
      <c r="H144" s="549" t="s">
        <v>1290</v>
      </c>
      <c r="I144" s="549" t="str">
        <f aca="false">"[fr]"&amp;E144</f>
        <v>[fr]Ausgestaltung des Verdienstes</v>
      </c>
      <c r="J144" s="586" t="s">
        <v>1291</v>
      </c>
      <c r="K144" s="569"/>
      <c r="L144" s="569"/>
    </row>
    <row r="145" customFormat="false" ht="15.75" hidden="false" customHeight="true" outlineLevel="0" collapsed="false">
      <c r="C145" s="56" t="s">
        <v>65</v>
      </c>
      <c r="D145" s="552" t="str">
        <f aca="false">HLOOKUP($C$1,$E$1:$X$4910,ROW(D145))</f>
        <v>Structuring working time</v>
      </c>
      <c r="E145" s="587" t="s">
        <v>1292</v>
      </c>
      <c r="F145" s="549" t="s">
        <v>1293</v>
      </c>
      <c r="G145" s="556" t="s">
        <v>1294</v>
      </c>
      <c r="H145" s="549" t="s">
        <v>1295</v>
      </c>
      <c r="I145" s="549" t="str">
        <f aca="false">"[fr]"&amp;E145</f>
        <v>[fr]Ausgestaltung der Arbeitszeit</v>
      </c>
      <c r="J145" s="586" t="s">
        <v>1296</v>
      </c>
      <c r="K145" s="569"/>
      <c r="L145" s="569"/>
    </row>
    <row r="146" customFormat="false" ht="28.5" hidden="false" customHeight="true" outlineLevel="0" collapsed="false">
      <c r="C146" s="590" t="s">
        <v>66</v>
      </c>
      <c r="D146" s="552" t="str">
        <f aca="false">HLOOKUP($C$1,$E$1:$X$4910,ROW(D146))</f>
        <v>Employment structure and work-life balance</v>
      </c>
      <c r="E146" s="589" t="s">
        <v>1297</v>
      </c>
      <c r="F146" s="549" t="s">
        <v>1298</v>
      </c>
      <c r="G146" s="556" t="s">
        <v>1299</v>
      </c>
      <c r="H146" s="549" t="s">
        <v>1300</v>
      </c>
      <c r="I146" s="549" t="str">
        <f aca="false">"[fr]"&amp;E146</f>
        <v>[fr]Ausgestaltung des Arbeitsverhältnisses und Work-Life-Balance</v>
      </c>
      <c r="J146" s="586" t="s">
        <v>1301</v>
      </c>
      <c r="K146" s="569"/>
      <c r="L146" s="569"/>
    </row>
    <row r="147" customFormat="false" ht="28.5" hidden="false" customHeight="true" outlineLevel="0" collapsed="false">
      <c r="C147" s="590" t="s">
        <v>67</v>
      </c>
      <c r="D147" s="552" t="str">
        <f aca="false">HLOOKUP($C$1,$E$1:$X$4910,ROW(D147))</f>
        <v>Negative aspect: unfair employment contracts</v>
      </c>
      <c r="E147" s="589" t="s">
        <v>1302</v>
      </c>
      <c r="F147" s="549" t="s">
        <v>1303</v>
      </c>
      <c r="G147" s="556" t="s">
        <v>1304</v>
      </c>
      <c r="H147" s="549" t="s">
        <v>1305</v>
      </c>
      <c r="I147" s="549" t="str">
        <f aca="false">"[fr]"&amp;E147</f>
        <v>[fr]Negativ-Aspekt: Ungerechte Ausgestaltung der Arbeitsverträge</v>
      </c>
      <c r="J147" s="586" t="s">
        <v>1306</v>
      </c>
      <c r="K147" s="569"/>
      <c r="L147" s="569"/>
    </row>
    <row r="148" customFormat="false" ht="41.85" hidden="false" customHeight="true" outlineLevel="0" collapsed="false">
      <c r="B148" s="548" t="str">
        <f aca="false">C148&amp;": "&amp;D148</f>
        <v>C3: Environmentally-friendly behaviour of staff</v>
      </c>
      <c r="C148" s="576" t="s">
        <v>68</v>
      </c>
      <c r="D148" s="552" t="str">
        <f aca="false">HLOOKUP($C$1,$E$1:$X$4910,ROW(D148))</f>
        <v>Environmentally-friendly behaviour of staff</v>
      </c>
      <c r="E148" s="577" t="s">
        <v>1307</v>
      </c>
      <c r="F148" s="578" t="s">
        <v>1308</v>
      </c>
      <c r="G148" s="556" t="s">
        <v>1309</v>
      </c>
      <c r="H148" s="549" t="s">
        <v>1310</v>
      </c>
      <c r="I148" s="549" t="str">
        <f aca="false">"[fr]"&amp;E148</f>
        <v>[fr]Förderung des ökologischen Verhaltens der Mitarbeitenden</v>
      </c>
      <c r="J148" s="584" t="s">
        <v>1311</v>
      </c>
      <c r="K148" s="569"/>
      <c r="L148" s="569"/>
    </row>
    <row r="149" customFormat="false" ht="15.75" hidden="false" customHeight="true" outlineLevel="0" collapsed="false">
      <c r="C149" s="585" t="s">
        <v>69</v>
      </c>
      <c r="D149" s="552" t="str">
        <f aca="false">HLOOKUP($C$1,$E$1:$X$4910,ROW(D149))</f>
        <v>Food during working hours</v>
      </c>
      <c r="E149" s="580" t="s">
        <v>1312</v>
      </c>
      <c r="F149" s="549" t="s">
        <v>1313</v>
      </c>
      <c r="G149" s="556" t="s">
        <v>1314</v>
      </c>
      <c r="H149" s="549" t="s">
        <v>1315</v>
      </c>
      <c r="I149" s="549" t="str">
        <f aca="false">"[fr]"&amp;E149</f>
        <v>[fr]Ernährung während der Arbeitszeit</v>
      </c>
      <c r="J149" s="586" t="s">
        <v>1316</v>
      </c>
      <c r="K149" s="569"/>
      <c r="L149" s="569"/>
    </row>
    <row r="150" customFormat="false" ht="15.75" hidden="false" customHeight="true" outlineLevel="0" collapsed="false">
      <c r="C150" s="56" t="s">
        <v>70</v>
      </c>
      <c r="D150" s="552" t="str">
        <f aca="false">HLOOKUP($C$1,$E$1:$X$4910,ROW(D150))</f>
        <v>Travel to work</v>
      </c>
      <c r="E150" s="587" t="s">
        <v>1317</v>
      </c>
      <c r="F150" s="549" t="s">
        <v>1318</v>
      </c>
      <c r="G150" s="556" t="s">
        <v>1319</v>
      </c>
      <c r="H150" s="549" t="s">
        <v>1320</v>
      </c>
      <c r="I150" s="549" t="str">
        <f aca="false">"[fr]"&amp;E150</f>
        <v>[fr]Mobilität zum Arbeitsplatz</v>
      </c>
      <c r="J150" s="586" t="s">
        <v>1321</v>
      </c>
      <c r="K150" s="569"/>
      <c r="L150" s="569"/>
    </row>
    <row r="151" customFormat="false" ht="28.5" hidden="false" customHeight="true" outlineLevel="0" collapsed="false">
      <c r="C151" s="590" t="s">
        <v>71</v>
      </c>
      <c r="D151" s="552" t="str">
        <f aca="false">HLOOKUP($C$1,$E$1:$X$4910,ROW(D151))</f>
        <v>Organisational culture, cultivating awareness for an environmentally-friendly approach</v>
      </c>
      <c r="E151" s="589" t="s">
        <v>1322</v>
      </c>
      <c r="F151" s="549" t="s">
        <v>1323</v>
      </c>
      <c r="G151" s="556" t="s">
        <v>1324</v>
      </c>
      <c r="H151" s="549" t="s">
        <v>1325</v>
      </c>
      <c r="I151" s="549" t="str">
        <f aca="false">"[fr]"&amp;E151</f>
        <v>[fr]Organisationskultur, Sensibilisierung und unternehmensinterne Prozesse</v>
      </c>
      <c r="J151" s="586" t="s">
        <v>1326</v>
      </c>
      <c r="K151" s="569"/>
      <c r="L151" s="569"/>
    </row>
    <row r="152" customFormat="false" ht="41.85" hidden="false" customHeight="true" outlineLevel="0" collapsed="false">
      <c r="C152" s="590" t="s">
        <v>72</v>
      </c>
      <c r="D152" s="552" t="str">
        <f aca="false">HLOOKUP($C$1,$E$1:$X$4910,ROW(D152))</f>
        <v>Negative aspect: guidance on waste/ environmentally damaging practices</v>
      </c>
      <c r="E152" s="589" t="s">
        <v>1327</v>
      </c>
      <c r="F152" s="549" t="s">
        <v>1328</v>
      </c>
      <c r="G152" s="556" t="s">
        <v>1329</v>
      </c>
      <c r="H152" s="549" t="s">
        <v>1330</v>
      </c>
      <c r="I152" s="549" t="str">
        <f aca="false">"[fr]"&amp;E152</f>
        <v>[fr]Negativ-Aspekt: Anleitung zur Verschwendung / Duldung unökologischen Verhaltens</v>
      </c>
      <c r="J152" s="586" t="s">
        <v>1331</v>
      </c>
      <c r="K152" s="569"/>
      <c r="L152" s="569"/>
    </row>
    <row r="153" customFormat="false" ht="41.85" hidden="false" customHeight="true" outlineLevel="0" collapsed="false">
      <c r="B153" s="548" t="str">
        <f aca="false">C153&amp;": "&amp;D153</f>
        <v>C4: Co-determination and transparency within the organisation</v>
      </c>
      <c r="C153" s="576" t="s">
        <v>73</v>
      </c>
      <c r="D153" s="552" t="str">
        <f aca="false">HLOOKUP($C$1,$E$1:$X$4910,ROW(D153))</f>
        <v>Co-determination and transparency within the organisation</v>
      </c>
      <c r="E153" s="577" t="str">
        <f aca="false">"Innerbetriebliche Mitentscheidung und Transparenz"</f>
        <v>Innerbetriebliche Mitentscheidung und Transparenz</v>
      </c>
      <c r="F153" s="578" t="s">
        <v>1332</v>
      </c>
      <c r="G153" s="556" t="s">
        <v>1333</v>
      </c>
      <c r="H153" s="549" t="s">
        <v>1334</v>
      </c>
      <c r="I153" s="549" t="str">
        <f aca="false">"[fr]"&amp;E153</f>
        <v>[fr]Innerbetriebliche Mitentscheidung und Transparenz</v>
      </c>
      <c r="J153" s="584" t="s">
        <v>1335</v>
      </c>
      <c r="K153" s="569"/>
      <c r="L153" s="569"/>
    </row>
    <row r="154" customFormat="false" ht="15.75" hidden="false" customHeight="true" outlineLevel="0" collapsed="false">
      <c r="C154" s="585" t="s">
        <v>74</v>
      </c>
      <c r="D154" s="552" t="str">
        <f aca="false">HLOOKUP($C$1,$E$1:$X$4910,ROW(D154))</f>
        <v>Transparency within the organisation</v>
      </c>
      <c r="E154" s="580" t="s">
        <v>1336</v>
      </c>
      <c r="F154" s="549" t="s">
        <v>1337</v>
      </c>
      <c r="G154" s="556" t="s">
        <v>1338</v>
      </c>
      <c r="H154" s="549" t="s">
        <v>1339</v>
      </c>
      <c r="I154" s="549" t="str">
        <f aca="false">"[fr]"&amp;E154</f>
        <v>[fr]Innerbetriebliche Transparenz</v>
      </c>
      <c r="J154" s="586" t="s">
        <v>1340</v>
      </c>
      <c r="K154" s="569"/>
      <c r="L154" s="569"/>
    </row>
    <row r="155" customFormat="false" ht="15.75" hidden="false" customHeight="true" outlineLevel="0" collapsed="false">
      <c r="C155" s="56" t="s">
        <v>75</v>
      </c>
      <c r="D155" s="552" t="str">
        <f aca="false">HLOOKUP($C$1,$E$1:$X$4910,ROW(D155))</f>
        <v>Legitimation of the management</v>
      </c>
      <c r="E155" s="587" t="s">
        <v>1341</v>
      </c>
      <c r="F155" s="549" t="s">
        <v>1342</v>
      </c>
      <c r="G155" s="556" t="s">
        <v>1343</v>
      </c>
      <c r="H155" s="549" t="s">
        <v>1344</v>
      </c>
      <c r="I155" s="549" t="str">
        <f aca="false">"[fr]"&amp;E155</f>
        <v>[fr]Legitimierung der Führungskräfte</v>
      </c>
      <c r="J155" s="586" t="s">
        <v>1345</v>
      </c>
      <c r="K155" s="569"/>
      <c r="L155" s="569"/>
    </row>
    <row r="156" customFormat="false" ht="28.5" hidden="false" customHeight="true" outlineLevel="0" collapsed="false">
      <c r="C156" s="56" t="s">
        <v>76</v>
      </c>
      <c r="D156" s="552" t="str">
        <f aca="false">HLOOKUP($C$1,$E$1:$X$4910,ROW(D156))</f>
        <v>Employee co-determination</v>
      </c>
      <c r="E156" s="587" t="s">
        <v>1346</v>
      </c>
      <c r="F156" s="549" t="s">
        <v>1347</v>
      </c>
      <c r="G156" s="556" t="s">
        <v>1348</v>
      </c>
      <c r="H156" s="549" t="s">
        <v>1349</v>
      </c>
      <c r="I156" s="549" t="str">
        <f aca="false">"[fr]"&amp;E156</f>
        <v>[fr]Mitentscheidung der Mitarbeitenden</v>
      </c>
      <c r="J156" s="586" t="s">
        <v>1350</v>
      </c>
      <c r="K156" s="569"/>
      <c r="L156" s="569"/>
    </row>
    <row r="157" customFormat="false" ht="28.5" hidden="false" customHeight="true" outlineLevel="0" collapsed="false">
      <c r="C157" s="70" t="s">
        <v>77</v>
      </c>
      <c r="D157" s="552" t="str">
        <f aca="false">HLOOKUP($C$1,$E$1:$X$4910,ROW(D157))</f>
        <v>Negative aspect: obstruction of works councils</v>
      </c>
      <c r="E157" s="591" t="s">
        <v>1351</v>
      </c>
      <c r="F157" s="549" t="s">
        <v>1352</v>
      </c>
      <c r="G157" s="556" t="s">
        <v>1353</v>
      </c>
      <c r="H157" s="549" t="s">
        <v>1354</v>
      </c>
      <c r="I157" s="549" t="str">
        <f aca="false">"[fr]"&amp;E157</f>
        <v>[fr]Negativ-Aspekt C4.4: Verhinderung des Betriebsrates</v>
      </c>
      <c r="J157" s="586" t="s">
        <v>1355</v>
      </c>
      <c r="K157" s="569"/>
      <c r="L157" s="569"/>
    </row>
    <row r="158" customFormat="false" ht="15.75" hidden="false" customHeight="true" outlineLevel="0" collapsed="false">
      <c r="B158" s="571" t="str">
        <f aca="false">C158&amp;": "&amp;D158</f>
        <v>D: Customers and other companies</v>
      </c>
      <c r="C158" s="572" t="s">
        <v>78</v>
      </c>
      <c r="D158" s="552" t="str">
        <f aca="false">HLOOKUP($C$1,$E$1:$X$4910,ROW(D158))</f>
        <v>Customers and other companies</v>
      </c>
      <c r="E158" s="583" t="s">
        <v>1356</v>
      </c>
      <c r="F158" s="574" t="s">
        <v>1357</v>
      </c>
      <c r="G158" s="556" t="s">
        <v>1358</v>
      </c>
      <c r="H158" s="549" t="s">
        <v>1359</v>
      </c>
      <c r="I158" s="549" t="str">
        <f aca="false">"[fr]"&amp;E158</f>
        <v>[fr]Kund*nnen und Mitunternehmen</v>
      </c>
      <c r="J158" s="588" t="s">
        <v>1360</v>
      </c>
      <c r="K158" s="549" t="str">
        <f aca="false">"[gr]"&amp;E158</f>
        <v>[gr]Kund*nnen und Mitunternehmen</v>
      </c>
    </row>
    <row r="159" customFormat="false" ht="28.5" hidden="false" customHeight="true" outlineLevel="0" collapsed="false">
      <c r="B159" s="548" t="str">
        <f aca="false">C159&amp;": "&amp;D159</f>
        <v>D1: Ethical customer relations</v>
      </c>
      <c r="C159" s="576" t="s">
        <v>79</v>
      </c>
      <c r="D159" s="552" t="str">
        <f aca="false">HLOOKUP($C$1,$E$1:$X$4910,ROW(D159))</f>
        <v>Ethical customer relations</v>
      </c>
      <c r="E159" s="577" t="s">
        <v>1361</v>
      </c>
      <c r="F159" s="578" t="s">
        <v>1362</v>
      </c>
      <c r="G159" s="556" t="s">
        <v>1363</v>
      </c>
      <c r="H159" s="549" t="s">
        <v>1364</v>
      </c>
      <c r="I159" s="549" t="s">
        <v>1365</v>
      </c>
      <c r="J159" s="584" t="s">
        <v>1366</v>
      </c>
      <c r="K159" s="569"/>
      <c r="L159" s="569"/>
    </row>
    <row r="160" customFormat="false" ht="28.5" hidden="false" customHeight="true" outlineLevel="0" collapsed="false">
      <c r="C160" s="580" t="s">
        <v>80</v>
      </c>
      <c r="D160" s="552" t="str">
        <f aca="false">HLOOKUP($C$1,$E$1:$X$4910,ROW(D160))</f>
        <v>Respect for human dignity in communication with customers</v>
      </c>
      <c r="E160" s="580" t="s">
        <v>1367</v>
      </c>
      <c r="F160" s="549" t="s">
        <v>1368</v>
      </c>
      <c r="G160" s="556" t="s">
        <v>1369</v>
      </c>
      <c r="H160" s="549" t="s">
        <v>1370</v>
      </c>
      <c r="I160" s="549" t="str">
        <f aca="false">"[fr]"&amp;E160</f>
        <v>[fr]Menschenwürdige Kommunikation mit Kund*innen</v>
      </c>
      <c r="J160" s="586" t="s">
        <v>1371</v>
      </c>
      <c r="K160" s="569"/>
      <c r="L160" s="569"/>
    </row>
    <row r="161" customFormat="false" ht="15.75" hidden="false" customHeight="true" outlineLevel="0" collapsed="false">
      <c r="C161" s="56" t="s">
        <v>81</v>
      </c>
      <c r="D161" s="552" t="str">
        <f aca="false">HLOOKUP($C$1,$E$1:$X$4910,ROW(D161))</f>
        <v>Barrier-free access</v>
      </c>
      <c r="E161" s="580" t="s">
        <v>1372</v>
      </c>
      <c r="F161" s="549" t="s">
        <v>1373</v>
      </c>
      <c r="G161" s="556" t="s">
        <v>1374</v>
      </c>
      <c r="H161" s="549" t="s">
        <v>1375</v>
      </c>
      <c r="I161" s="549" t="str">
        <f aca="false">"[fr]"&amp;E161</f>
        <v>[fr]Barrierefreiheit</v>
      </c>
      <c r="J161" s="586" t="s">
        <v>1376</v>
      </c>
      <c r="K161" s="569"/>
      <c r="L161" s="569"/>
    </row>
    <row r="162" customFormat="false" ht="28.5" hidden="false" customHeight="true" outlineLevel="0" collapsed="false">
      <c r="C162" s="587" t="s">
        <v>82</v>
      </c>
      <c r="D162" s="552" t="str">
        <f aca="false">HLOOKUP($C$1,$E$1:$X$4910,ROW(D162))</f>
        <v>Negative aspect: unethical advertising</v>
      </c>
      <c r="E162" s="580" t="s">
        <v>1377</v>
      </c>
      <c r="F162" s="549" t="s">
        <v>1378</v>
      </c>
      <c r="G162" s="556" t="s">
        <v>1379</v>
      </c>
      <c r="H162" s="549" t="s">
        <v>1380</v>
      </c>
      <c r="I162" s="549" t="str">
        <f aca="false">"[fr]"&amp;E162</f>
        <v>[fr]Negativ-Aspekt: Unethische Werbemaßnahmen</v>
      </c>
      <c r="J162" s="586" t="s">
        <v>1381</v>
      </c>
      <c r="K162" s="569"/>
      <c r="L162" s="569"/>
    </row>
    <row r="163" customFormat="false" ht="28.5" hidden="false" customHeight="true" outlineLevel="0" collapsed="false">
      <c r="B163" s="548" t="str">
        <f aca="false">C163&amp;": "&amp;D163</f>
        <v>D2: Cooperation and solidarity with other companies</v>
      </c>
      <c r="C163" s="576" t="s">
        <v>83</v>
      </c>
      <c r="D163" s="552" t="str">
        <f aca="false">HLOOKUP($C$1,$E$1:$X$4910,ROW(D163))</f>
        <v>Cooperation and solidarity with other companies</v>
      </c>
      <c r="E163" s="577" t="s">
        <v>1382</v>
      </c>
      <c r="F163" s="578" t="s">
        <v>1383</v>
      </c>
      <c r="G163" s="556" t="s">
        <v>1384</v>
      </c>
      <c r="H163" s="549" t="s">
        <v>1385</v>
      </c>
      <c r="I163" s="549" t="str">
        <f aca="false">"[fr]"&amp;E163</f>
        <v>[fr]Kooperation und Solidarität mit Mitunternehmen</v>
      </c>
      <c r="J163" s="584" t="s">
        <v>1386</v>
      </c>
      <c r="K163" s="569"/>
      <c r="L163" s="569"/>
    </row>
    <row r="164" customFormat="false" ht="15.75" hidden="false" customHeight="true" outlineLevel="0" collapsed="false">
      <c r="C164" s="580" t="s">
        <v>84</v>
      </c>
      <c r="D164" s="552" t="str">
        <f aca="false">HLOOKUP($C$1,$E$1:$X$4910,ROW(D164))</f>
        <v>Cooperation with other companies</v>
      </c>
      <c r="E164" s="580" t="s">
        <v>1387</v>
      </c>
      <c r="F164" s="549" t="s">
        <v>1388</v>
      </c>
      <c r="G164" s="556" t="s">
        <v>1389</v>
      </c>
      <c r="H164" s="549" t="s">
        <v>1390</v>
      </c>
      <c r="I164" s="549" t="str">
        <f aca="false">"[fr]"&amp;E164</f>
        <v>[fr]Kooperation mit Mitunternehmen</v>
      </c>
      <c r="J164" s="586" t="s">
        <v>1391</v>
      </c>
      <c r="K164" s="569"/>
      <c r="L164" s="569"/>
    </row>
    <row r="165" customFormat="false" ht="15.75" hidden="false" customHeight="true" outlineLevel="0" collapsed="false">
      <c r="C165" s="587" t="s">
        <v>85</v>
      </c>
      <c r="D165" s="552" t="str">
        <f aca="false">HLOOKUP($C$1,$E$1:$X$4910,ROW(D165))</f>
        <v>Solidarity with other companies</v>
      </c>
      <c r="E165" s="580" t="s">
        <v>1392</v>
      </c>
      <c r="F165" s="549" t="s">
        <v>1393</v>
      </c>
      <c r="G165" s="556" t="s">
        <v>1394</v>
      </c>
      <c r="H165" s="549" t="s">
        <v>1395</v>
      </c>
      <c r="I165" s="549" t="str">
        <f aca="false">"[fr]"&amp;E165</f>
        <v>[fr]Solidarität mit Mitunternehmen</v>
      </c>
      <c r="J165" s="586" t="s">
        <v>1396</v>
      </c>
      <c r="K165" s="569"/>
      <c r="L165" s="569"/>
    </row>
    <row r="166" customFormat="false" ht="28.5" hidden="false" customHeight="true" outlineLevel="0" collapsed="false">
      <c r="C166" s="589" t="s">
        <v>86</v>
      </c>
      <c r="D166" s="552" t="str">
        <f aca="false">HLOOKUP($C$1,$E$1:$X$4910,ROW(D166))</f>
        <v>Negative aspect: abuse of market power to the detriment of other companies</v>
      </c>
      <c r="E166" s="592" t="s">
        <v>1397</v>
      </c>
      <c r="F166" s="549" t="s">
        <v>1398</v>
      </c>
      <c r="G166" s="556" t="s">
        <v>1399</v>
      </c>
      <c r="H166" s="549" t="s">
        <v>1400</v>
      </c>
      <c r="I166" s="549" t="str">
        <f aca="false">"[fr]"&amp;E166</f>
        <v>[fr]Negativ-Aspekt D2.3: Missbrauch der Marktmacht gegenüber Mitunternehmen</v>
      </c>
      <c r="J166" s="586" t="s">
        <v>1401</v>
      </c>
      <c r="K166" s="569"/>
      <c r="L166" s="569"/>
    </row>
    <row r="167" customFormat="false" ht="41.85" hidden="false" customHeight="true" outlineLevel="0" collapsed="false">
      <c r="B167" s="548" t="str">
        <f aca="false">C167&amp;": "&amp;D167</f>
        <v>D3: Impact on the environment of the use and disposal of products and services</v>
      </c>
      <c r="C167" s="576" t="s">
        <v>87</v>
      </c>
      <c r="D167" s="552" t="str">
        <f aca="false">HLOOKUP($C$1,$E$1:$X$4910,ROW(D167))</f>
        <v>Impact on the environment of the use and disposal of products and services</v>
      </c>
      <c r="E167" s="577" t="s">
        <v>1402</v>
      </c>
      <c r="F167" s="578" t="s">
        <v>1403</v>
      </c>
      <c r="G167" s="556" t="s">
        <v>1404</v>
      </c>
      <c r="H167" s="549" t="s">
        <v>1405</v>
      </c>
      <c r="I167" s="549" t="str">
        <f aca="false">"[fr]"&amp;E167</f>
        <v>[fr]Ökologische Auswirkung durch Nutzung und Entsorgung von Produkten und Dienstleistungen</v>
      </c>
      <c r="J167" s="584" t="s">
        <v>1406</v>
      </c>
      <c r="K167" s="569"/>
      <c r="L167" s="569"/>
    </row>
    <row r="168" customFormat="false" ht="41.85" hidden="false" customHeight="true" outlineLevel="0" collapsed="false">
      <c r="C168" s="580" t="s">
        <v>88</v>
      </c>
      <c r="D168" s="552" t="str">
        <f aca="false">HLOOKUP($C$1,$E$1:$X$4910,ROW(D168))</f>
        <v>Environmental cost-benefit ration of products and services (efficiency and consistency)</v>
      </c>
      <c r="E168" s="580" t="s">
        <v>1407</v>
      </c>
      <c r="F168" s="549" t="s">
        <v>1408</v>
      </c>
      <c r="G168" s="556" t="s">
        <v>1409</v>
      </c>
      <c r="H168" s="549" t="s">
        <v>1410</v>
      </c>
      <c r="I168" s="549" t="str">
        <f aca="false">"[fr]"&amp;E168</f>
        <v>[fr]Ökologisches Kosten-Nutzen-Verhältnis von Produkten und Dienstleistungen (Effizienz und Konsistenz)</v>
      </c>
      <c r="J168" s="586" t="s">
        <v>1411</v>
      </c>
      <c r="K168" s="569"/>
      <c r="L168" s="569"/>
    </row>
    <row r="169" customFormat="false" ht="28.5" hidden="false" customHeight="true" outlineLevel="0" collapsed="false">
      <c r="C169" s="587" t="s">
        <v>89</v>
      </c>
      <c r="D169" s="552" t="str">
        <f aca="false">HLOOKUP($C$1,$E$1:$X$4910,ROW(D169))</f>
        <v>Moderate use of products and services (sufficiency)</v>
      </c>
      <c r="E169" s="580" t="s">
        <v>1412</v>
      </c>
      <c r="F169" s="549" t="s">
        <v>1413</v>
      </c>
      <c r="G169" s="556" t="s">
        <v>1414</v>
      </c>
      <c r="H169" s="549" t="s">
        <v>1415</v>
      </c>
      <c r="I169" s="549" t="str">
        <f aca="false">"[fr]"&amp;E169</f>
        <v>[fr]Maßvolle Nutzung von Produkten und Dienstleistungen (Suffizienz)</v>
      </c>
      <c r="J169" s="586" t="s">
        <v>1416</v>
      </c>
      <c r="K169" s="569"/>
      <c r="L169" s="569"/>
    </row>
    <row r="170" customFormat="false" ht="38.85" hidden="false" customHeight="true" outlineLevel="0" collapsed="false">
      <c r="C170" s="589" t="s">
        <v>90</v>
      </c>
      <c r="D170" s="552" t="str">
        <f aca="false">HLOOKUP($C$1,$E$1:$X$4910,ROW(D170))</f>
        <v>Negative aspect: wilful disregard of disproportionate environmental impacts</v>
      </c>
      <c r="E170" s="592" t="s">
        <v>1417</v>
      </c>
      <c r="F170" s="549" t="s">
        <v>1418</v>
      </c>
      <c r="G170" s="556" t="s">
        <v>1419</v>
      </c>
      <c r="H170" s="549" t="s">
        <v>1420</v>
      </c>
      <c r="I170" s="549" t="str">
        <f aca="false">"[fr]"&amp;E170</f>
        <v>[fr]Negativ-Aspekt: Bewusste Inkaufnahme unverhältnismäßiger, ökologischer Auswirkungen</v>
      </c>
      <c r="J170" s="586" t="s">
        <v>1421</v>
      </c>
      <c r="K170" s="569"/>
      <c r="L170" s="569"/>
    </row>
    <row r="171" customFormat="false" ht="28.5" hidden="false" customHeight="true" outlineLevel="0" collapsed="false">
      <c r="B171" s="548" t="str">
        <f aca="false">C171&amp;": "&amp;D171</f>
        <v>D4: Customer participation and product transparency</v>
      </c>
      <c r="C171" s="576" t="s">
        <v>91</v>
      </c>
      <c r="D171" s="552" t="str">
        <f aca="false">HLOOKUP($C$1,$E$1:$X$4910,ROW(D171))</f>
        <v>Customer participation and product transparency</v>
      </c>
      <c r="E171" s="577" t="s">
        <v>1422</v>
      </c>
      <c r="F171" s="578" t="s">
        <v>1423</v>
      </c>
      <c r="G171" s="556" t="s">
        <v>1424</v>
      </c>
      <c r="H171" s="549" t="s">
        <v>1425</v>
      </c>
      <c r="I171" s="549" t="str">
        <f aca="false">"[fr]"&amp;E171</f>
        <v>[fr]Kund*innen-Mitwirkung und Produkttransparenz</v>
      </c>
      <c r="J171" s="584" t="s">
        <v>1426</v>
      </c>
      <c r="K171" s="569"/>
      <c r="L171" s="569"/>
    </row>
    <row r="172" customFormat="false" ht="28.5" hidden="false" customHeight="true" outlineLevel="0" collapsed="false">
      <c r="C172" s="580" t="s">
        <v>92</v>
      </c>
      <c r="D172" s="552" t="str">
        <f aca="false">HLOOKUP($C$1,$E$1:$X$4910,ROW(D172))</f>
        <v>Customer participation, joint product development and market research</v>
      </c>
      <c r="E172" s="580" t="s">
        <v>1427</v>
      </c>
      <c r="F172" s="549" t="s">
        <v>1428</v>
      </c>
      <c r="G172" s="556" t="s">
        <v>1429</v>
      </c>
      <c r="H172" s="549" t="s">
        <v>1430</v>
      </c>
      <c r="I172" s="549" t="str">
        <f aca="false">"[fr]"&amp;E172</f>
        <v>[fr]Kund*innen-Mitwirkung, gemeinsame Produktentwicklung und Marktforschung</v>
      </c>
      <c r="J172" s="586" t="s">
        <v>1431</v>
      </c>
      <c r="K172" s="569"/>
      <c r="L172" s="569"/>
    </row>
    <row r="173" customFormat="false" ht="15.75" hidden="false" customHeight="true" outlineLevel="0" collapsed="false">
      <c r="C173" s="589" t="s">
        <v>93</v>
      </c>
      <c r="D173" s="552" t="str">
        <f aca="false">HLOOKUP($C$1,$E$1:$X$4910,ROW(D173))</f>
        <v>Product transparency</v>
      </c>
      <c r="E173" s="592" t="s">
        <v>1432</v>
      </c>
      <c r="F173" s="549" t="s">
        <v>1433</v>
      </c>
      <c r="G173" s="556" t="s">
        <v>1434</v>
      </c>
      <c r="H173" s="549" t="s">
        <v>1435</v>
      </c>
      <c r="I173" s="549" t="str">
        <f aca="false">"[fr]"&amp;E173</f>
        <v>[fr]Produkttransparenz</v>
      </c>
      <c r="J173" s="586" t="s">
        <v>1436</v>
      </c>
      <c r="K173" s="569"/>
      <c r="L173" s="569"/>
    </row>
    <row r="174" customFormat="false" ht="28.5" hidden="false" customHeight="true" outlineLevel="0" collapsed="false">
      <c r="C174" s="589" t="s">
        <v>93</v>
      </c>
      <c r="D174" s="552" t="str">
        <f aca="false">HLOOKUP($C$1,$E$1:$X$4910,ROW(D174))</f>
        <v>Negative aspect: non-disclosure of hazardous substances</v>
      </c>
      <c r="E174" s="589" t="s">
        <v>1437</v>
      </c>
      <c r="F174" s="549" t="s">
        <v>1438</v>
      </c>
      <c r="G174" s="556" t="s">
        <v>1439</v>
      </c>
      <c r="H174" s="549" t="s">
        <v>1440</v>
      </c>
      <c r="I174" s="549" t="str">
        <f aca="false">"[fr]"&amp;E174</f>
        <v>[fr]Negativ-Aspekt: Kein Ausweis von Gefahrenstoffen</v>
      </c>
      <c r="J174" s="586" t="s">
        <v>1441</v>
      </c>
      <c r="K174" s="569"/>
      <c r="L174" s="569"/>
    </row>
    <row r="175" customFormat="false" ht="15.75" hidden="false" customHeight="true" outlineLevel="0" collapsed="false">
      <c r="B175" s="571" t="str">
        <f aca="false">C175&amp;": "&amp;D175</f>
        <v>E: Social environment</v>
      </c>
      <c r="C175" s="572" t="s">
        <v>94</v>
      </c>
      <c r="D175" s="552" t="str">
        <f aca="false">HLOOKUP($C$1,$E$1:$X$4910,ROW(D175))</f>
        <v>Social environment</v>
      </c>
      <c r="E175" s="583" t="s">
        <v>1442</v>
      </c>
      <c r="F175" s="574" t="s">
        <v>1443</v>
      </c>
      <c r="G175" s="556" t="s">
        <v>1444</v>
      </c>
      <c r="H175" s="549" t="s">
        <v>1445</v>
      </c>
      <c r="I175" s="549" t="str">
        <f aca="false">"[fr]"&amp;E175</f>
        <v>[fr]Gesellschaftliches Umfeld</v>
      </c>
      <c r="J175" s="588" t="s">
        <v>1446</v>
      </c>
      <c r="K175" s="549" t="str">
        <f aca="false">"[gr]"&amp;E175</f>
        <v>[gr]Gesellschaftliches Umfeld</v>
      </c>
    </row>
    <row r="176" customFormat="false" ht="28.5" hidden="false" customHeight="true" outlineLevel="0" collapsed="false">
      <c r="B176" s="548" t="str">
        <f aca="false">C176&amp;": "&amp;D176</f>
        <v>E1: Purpose of products and services and their effects on society</v>
      </c>
      <c r="C176" s="576" t="s">
        <v>95</v>
      </c>
      <c r="D176" s="552" t="str">
        <f aca="false">HLOOKUP($C$1,$E$1:$X$4910,ROW(D176))</f>
        <v>Purpose of products and services and their effects on society</v>
      </c>
      <c r="E176" s="577" t="s">
        <v>1447</v>
      </c>
      <c r="F176" s="578" t="s">
        <v>1448</v>
      </c>
      <c r="G176" s="556" t="s">
        <v>1449</v>
      </c>
      <c r="H176" s="549" t="s">
        <v>1450</v>
      </c>
      <c r="I176" s="549" t="str">
        <f aca="false">"[fr]"&amp;E176</f>
        <v>[fr]Sinn und gesellschaftliche Wirkung der Produkte und Dienstleistungen</v>
      </c>
      <c r="J176" s="584" t="s">
        <v>1451</v>
      </c>
      <c r="K176" s="593"/>
    </row>
    <row r="177" customFormat="false" ht="28.5" hidden="false" customHeight="true" outlineLevel="0" collapsed="false">
      <c r="C177" s="580" t="s">
        <v>96</v>
      </c>
      <c r="D177" s="552" t="str">
        <f aca="false">HLOOKUP($C$1,$E$1:$X$4910,ROW(D177))</f>
        <v>Products and services should cover basic needs and contribute to a good life</v>
      </c>
      <c r="E177" s="580" t="s">
        <v>1452</v>
      </c>
      <c r="F177" s="549" t="s">
        <v>1453</v>
      </c>
      <c r="G177" s="556" t="s">
        <v>1454</v>
      </c>
      <c r="H177" s="549" t="s">
        <v>1455</v>
      </c>
      <c r="I177" s="549" t="str">
        <f aca="false">"[fr]"&amp;E177</f>
        <v>[fr]Produkte und Dienstleistungen decken den Grundbedarf und dienen dem guten Leben</v>
      </c>
      <c r="J177" s="586" t="s">
        <v>1456</v>
      </c>
      <c r="K177" s="569"/>
    </row>
    <row r="178" customFormat="false" ht="28.5" hidden="false" customHeight="true" outlineLevel="0" collapsed="false">
      <c r="C178" s="589" t="s">
        <v>97</v>
      </c>
      <c r="D178" s="552" t="str">
        <f aca="false">HLOOKUP($C$1,$E$1:$X$4910,ROW(D178))</f>
        <v>Social impact of products and services</v>
      </c>
      <c r="E178" s="589" t="s">
        <v>1457</v>
      </c>
      <c r="F178" s="549" t="s">
        <v>1458</v>
      </c>
      <c r="G178" s="556" t="s">
        <v>1459</v>
      </c>
      <c r="H178" s="549" t="s">
        <v>1460</v>
      </c>
      <c r="I178" s="549" t="str">
        <f aca="false">"[fr]"&amp;E178</f>
        <v>[fr]Gesellschaftliche Wirkung der Produkte und Dienstleistungen</v>
      </c>
      <c r="J178" s="586" t="s">
        <v>1461</v>
      </c>
      <c r="K178" s="569"/>
    </row>
    <row r="179" customFormat="false" ht="28.5" hidden="false" customHeight="true" outlineLevel="0" collapsed="false">
      <c r="C179" s="589" t="s">
        <v>98</v>
      </c>
      <c r="D179" s="552" t="str">
        <f aca="false">HLOOKUP($C$1,$E$1:$X$4910,ROW(D179))</f>
        <v>Negative aspect: unethical and unfit products and services</v>
      </c>
      <c r="E179" s="589" t="s">
        <v>1462</v>
      </c>
      <c r="F179" s="549" t="s">
        <v>1463</v>
      </c>
      <c r="G179" s="556" t="s">
        <v>1464</v>
      </c>
      <c r="H179" s="549" t="s">
        <v>1465</v>
      </c>
      <c r="I179" s="549" t="str">
        <f aca="false">"[fr]"&amp;E179</f>
        <v>[fr]Negativ-Aspekt: Menschenunwürdige Produkte und Dienstleistungen</v>
      </c>
      <c r="J179" s="594" t="s">
        <v>1466</v>
      </c>
      <c r="K179" s="569"/>
    </row>
    <row r="180" customFormat="false" ht="28.5" hidden="false" customHeight="true" outlineLevel="0" collapsed="false">
      <c r="B180" s="548" t="str">
        <f aca="false">C180&amp;": "&amp;D180</f>
        <v>E2: Contribution to the community</v>
      </c>
      <c r="C180" s="576" t="s">
        <v>99</v>
      </c>
      <c r="D180" s="552" t="str">
        <f aca="false">HLOOKUP($C$1,$E$1:$X$4910,ROW(D180))</f>
        <v>Contribution to the community</v>
      </c>
      <c r="E180" s="577" t="s">
        <v>1467</v>
      </c>
      <c r="F180" s="578" t="s">
        <v>1468</v>
      </c>
      <c r="G180" s="556" t="s">
        <v>1469</v>
      </c>
      <c r="H180" s="549" t="s">
        <v>1470</v>
      </c>
      <c r="I180" s="549" t="str">
        <f aca="false">"[fr]"&amp;E180</f>
        <v>[fr]Beitrag zum Gemeinwesen</v>
      </c>
      <c r="J180" s="584" t="s">
        <v>1471</v>
      </c>
      <c r="K180" s="569"/>
    </row>
    <row r="181" customFormat="false" ht="15.75" hidden="false" customHeight="true" outlineLevel="0" collapsed="false">
      <c r="C181" s="585" t="s">
        <v>100</v>
      </c>
      <c r="D181" s="552" t="str">
        <f aca="false">HLOOKUP($C$1,$E$1:$X$4910,ROW(D181))</f>
        <v>Taxes and social security contributions</v>
      </c>
      <c r="E181" s="580" t="s">
        <v>1472</v>
      </c>
      <c r="F181" s="549" t="s">
        <v>1473</v>
      </c>
      <c r="G181" s="556" t="s">
        <v>1474</v>
      </c>
      <c r="H181" s="549" t="s">
        <v>1475</v>
      </c>
      <c r="I181" s="549" t="str">
        <f aca="false">"[fr]"&amp;E181</f>
        <v>[fr]Steuern und Sozialabgaben</v>
      </c>
      <c r="J181" s="586" t="s">
        <v>1476</v>
      </c>
      <c r="K181" s="569"/>
    </row>
    <row r="182" customFormat="false" ht="28.5" hidden="false" customHeight="true" outlineLevel="0" collapsed="false">
      <c r="C182" s="56" t="s">
        <v>101</v>
      </c>
      <c r="D182" s="552" t="str">
        <f aca="false">HLOOKUP($C$1,$E$1:$X$4910,ROW(D182))</f>
        <v>Voluntary contributions that strengthen society</v>
      </c>
      <c r="E182" s="587" t="s">
        <v>1477</v>
      </c>
      <c r="F182" s="549" t="s">
        <v>1478</v>
      </c>
      <c r="G182" s="556" t="s">
        <v>1479</v>
      </c>
      <c r="H182" s="549" t="s">
        <v>1480</v>
      </c>
      <c r="I182" s="549" t="str">
        <f aca="false">"[fr]"&amp;E182</f>
        <v>[fr]Freiwillige Beiträge zur Stärkung des Gemeinwesens</v>
      </c>
      <c r="J182" s="586" t="s">
        <v>1481</v>
      </c>
      <c r="K182" s="569"/>
    </row>
    <row r="183" customFormat="false" ht="15.75" hidden="false" customHeight="true" outlineLevel="0" collapsed="false">
      <c r="C183" s="590" t="s">
        <v>102</v>
      </c>
      <c r="D183" s="595" t="str">
        <f aca="false">HLOOKUP($C$1,$E$1:$X$4910,ROW(D183))</f>
        <v>Negative aspect: inappropriate non-payment of tax</v>
      </c>
      <c r="E183" s="589" t="s">
        <v>1482</v>
      </c>
      <c r="F183" s="549" t="s">
        <v>1483</v>
      </c>
      <c r="G183" s="556" t="s">
        <v>1484</v>
      </c>
      <c r="H183" s="549" t="s">
        <v>1485</v>
      </c>
      <c r="I183" s="549" t="str">
        <f aca="false">"[fr]"&amp;E183</f>
        <v>[fr]Negativ-Aspekt: Illegitime Steuervermeidung</v>
      </c>
      <c r="J183" s="586" t="s">
        <v>1486</v>
      </c>
      <c r="K183" s="569"/>
    </row>
    <row r="184" customFormat="false" ht="28.5" hidden="false" customHeight="true" outlineLevel="0" collapsed="false">
      <c r="C184" s="590" t="s">
        <v>103</v>
      </c>
      <c r="D184" s="552" t="str">
        <f aca="false">HLOOKUP($C$1,$E$1:$X$4910,ROW(D184))</f>
        <v>Negative aspect: no anti-corruption policy</v>
      </c>
      <c r="E184" s="589" t="s">
        <v>1487</v>
      </c>
      <c r="F184" s="549" t="s">
        <v>1488</v>
      </c>
      <c r="G184" s="556" t="s">
        <v>1489</v>
      </c>
      <c r="H184" s="549" t="s">
        <v>1490</v>
      </c>
      <c r="I184" s="549" t="str">
        <f aca="false">"[fr]"&amp;E184</f>
        <v>[fr]Negativ-Aspekt: Mangelnde Korruptionsprävention</v>
      </c>
      <c r="J184" s="586" t="s">
        <v>1491</v>
      </c>
      <c r="K184" s="569"/>
    </row>
    <row r="185" customFormat="false" ht="28.5" hidden="false" customHeight="true" outlineLevel="0" collapsed="false">
      <c r="B185" s="548" t="str">
        <f aca="false">C185&amp;": "&amp;D185</f>
        <v>E3: Reduction of environmental impact</v>
      </c>
      <c r="C185" s="576" t="s">
        <v>104</v>
      </c>
      <c r="D185" s="552" t="str">
        <f aca="false">HLOOKUP($C$1,$E$1:$X$4910,ROW(D185))</f>
        <v>Reduction of environmental impact</v>
      </c>
      <c r="E185" s="577" t="s">
        <v>1492</v>
      </c>
      <c r="F185" s="578" t="s">
        <v>1493</v>
      </c>
      <c r="G185" s="556" t="s">
        <v>1494</v>
      </c>
      <c r="H185" s="549" t="s">
        <v>1495</v>
      </c>
      <c r="I185" s="549" t="str">
        <f aca="false">"[fr]"&amp;E185</f>
        <v>[fr]Reduktion ökologischer Auswirkungen</v>
      </c>
      <c r="J185" s="584" t="s">
        <v>1496</v>
      </c>
      <c r="K185" s="569"/>
    </row>
    <row r="186" customFormat="false" ht="28.5" hidden="false" customHeight="true" outlineLevel="0" collapsed="false">
      <c r="C186" s="585" t="s">
        <v>105</v>
      </c>
      <c r="D186" s="552" t="str">
        <f aca="false">HLOOKUP($C$1,$E$1:$X$4910,ROW(D186))</f>
        <v>Absolute impact and management strategy</v>
      </c>
      <c r="E186" s="580" t="s">
        <v>1497</v>
      </c>
      <c r="F186" s="549" t="s">
        <v>1498</v>
      </c>
      <c r="G186" s="556" t="s">
        <v>1499</v>
      </c>
      <c r="H186" s="549" t="s">
        <v>1500</v>
      </c>
      <c r="I186" s="549" t="str">
        <f aca="false">"[fr]"&amp;E186</f>
        <v>[fr]Absolute Auswirkungen / Management &amp; Strategie</v>
      </c>
      <c r="J186" s="586" t="s">
        <v>1501</v>
      </c>
      <c r="K186" s="569"/>
    </row>
    <row r="187" customFormat="false" ht="15.75" hidden="false" customHeight="true" outlineLevel="0" collapsed="false">
      <c r="C187" s="56" t="s">
        <v>106</v>
      </c>
      <c r="D187" s="595" t="str">
        <f aca="false">HLOOKUP($C$1,$E$1:$X$4910,ROW(D187))</f>
        <v>Relative impact</v>
      </c>
      <c r="E187" s="587" t="s">
        <v>1502</v>
      </c>
      <c r="F187" s="549" t="s">
        <v>1503</v>
      </c>
      <c r="G187" s="556" t="s">
        <v>1504</v>
      </c>
      <c r="H187" s="549" t="s">
        <v>1505</v>
      </c>
      <c r="I187" s="549" t="str">
        <f aca="false">"[fr]"&amp;E187</f>
        <v>[fr]Relative Auswirkungen</v>
      </c>
      <c r="J187" s="586" t="s">
        <v>1506</v>
      </c>
      <c r="K187" s="569"/>
    </row>
    <row r="188" customFormat="false" ht="41.85" hidden="false" customHeight="true" outlineLevel="0" collapsed="false">
      <c r="C188" s="590" t="s">
        <v>107</v>
      </c>
      <c r="D188" s="552" t="str">
        <f aca="false">HLOOKUP($C$1,$E$1:$X$4910,ROW(D188))</f>
        <v>Negative aspect: infringement of environmental regulations and disproportionate environmental pollution</v>
      </c>
      <c r="E188" s="589" t="s">
        <v>1507</v>
      </c>
      <c r="F188" s="549" t="s">
        <v>1508</v>
      </c>
      <c r="G188" s="556" t="s">
        <v>1509</v>
      </c>
      <c r="H188" s="549" t="s">
        <v>1510</v>
      </c>
      <c r="I188" s="549" t="str">
        <f aca="false">"[fr]"&amp;E188</f>
        <v>[fr]Negativ-Aspekt: Verstöße gegen Umweltauflagen sowie unangemessene Umweltbelastungen</v>
      </c>
      <c r="J188" s="586" t="s">
        <v>1511</v>
      </c>
      <c r="K188" s="569"/>
    </row>
    <row r="189" customFormat="false" ht="28.5" hidden="false" customHeight="true" outlineLevel="0" collapsed="false">
      <c r="B189" s="548" t="str">
        <f aca="false">C189&amp;": "&amp;D189</f>
        <v>E4: Social co-determination and transparency</v>
      </c>
      <c r="C189" s="576" t="s">
        <v>108</v>
      </c>
      <c r="D189" s="552" t="str">
        <f aca="false">HLOOKUP($C$1,$E$1:$X$4910,ROW(D189))</f>
        <v>Social co-determination and transparency</v>
      </c>
      <c r="E189" s="577" t="s">
        <v>1512</v>
      </c>
      <c r="F189" s="578" t="s">
        <v>1513</v>
      </c>
      <c r="G189" s="556" t="s">
        <v>1514</v>
      </c>
      <c r="H189" s="549" t="s">
        <v>1515</v>
      </c>
      <c r="I189" s="549" t="str">
        <f aca="false">"[fr]"&amp;E189</f>
        <v>[fr]Transparenz und gesellschaftliche Mitentscheidung</v>
      </c>
      <c r="J189" s="584" t="s">
        <v>1516</v>
      </c>
      <c r="K189" s="569"/>
    </row>
    <row r="190" customFormat="false" ht="15.75" hidden="false" customHeight="true" outlineLevel="0" collapsed="false">
      <c r="C190" s="585" t="s">
        <v>109</v>
      </c>
      <c r="D190" s="552" t="str">
        <f aca="false">HLOOKUP($C$1,$E$1:$X$4910,ROW(D190))</f>
        <v>Transparency</v>
      </c>
      <c r="E190" s="580" t="s">
        <v>1517</v>
      </c>
      <c r="F190" s="549" t="s">
        <v>1518</v>
      </c>
      <c r="G190" s="556" t="s">
        <v>1519</v>
      </c>
      <c r="H190" s="549" t="s">
        <v>1520</v>
      </c>
      <c r="I190" s="549" t="str">
        <f aca="false">"[fr]"&amp;E190</f>
        <v>[fr]Transparenz</v>
      </c>
      <c r="J190" s="586" t="s">
        <v>1521</v>
      </c>
      <c r="K190" s="569"/>
    </row>
    <row r="191" customFormat="false" ht="28.5" hidden="false" customHeight="true" outlineLevel="0" collapsed="false">
      <c r="C191" s="585" t="s">
        <v>110</v>
      </c>
      <c r="D191" s="595" t="str">
        <f aca="false">HLOOKUP($C$1,$E$1:$X$4910,ROW(D191))</f>
        <v>Social participation</v>
      </c>
      <c r="E191" s="580" t="s">
        <v>1522</v>
      </c>
      <c r="F191" s="549" t="s">
        <v>1523</v>
      </c>
      <c r="G191" s="556" t="s">
        <v>1524</v>
      </c>
      <c r="H191" s="549" t="s">
        <v>1525</v>
      </c>
      <c r="I191" s="549" t="str">
        <f aca="false">"[fr]"&amp;E191</f>
        <v>[fr]Gesellschaftliche Mitbestimmung</v>
      </c>
      <c r="J191" s="586" t="s">
        <v>1526</v>
      </c>
      <c r="K191" s="569"/>
    </row>
    <row r="192" customFormat="false" ht="28.5" hidden="false" customHeight="true" outlineLevel="0" collapsed="false">
      <c r="C192" s="585" t="s">
        <v>111</v>
      </c>
      <c r="D192" s="552" t="str">
        <f aca="false">HLOOKUP($C$1,$E$1:$X$4910,ROW(D192))</f>
        <v>Negative aspect: lack of transparency and wilful misinformation</v>
      </c>
      <c r="E192" s="580" t="s">
        <v>1527</v>
      </c>
      <c r="F192" s="549" t="s">
        <v>1528</v>
      </c>
      <c r="G192" s="556" t="s">
        <v>1529</v>
      </c>
      <c r="H192" s="549" t="s">
        <v>1530</v>
      </c>
      <c r="I192" s="549" t="str">
        <f aca="false">"[fr]"&amp;E192</f>
        <v>[fr]Negativ-Aspekt: Förderung von Intransparenz und bewusste Fehlinformation</v>
      </c>
      <c r="J192" s="586" t="s">
        <v>1531</v>
      </c>
      <c r="K192" s="569"/>
    </row>
    <row r="193" customFormat="false" ht="15.75" hidden="false" customHeight="true" outlineLevel="0" collapsed="false">
      <c r="D193" s="552" t="n">
        <f aca="false">HLOOKUP($C$1,$E$1:$X$4910,ROW(D193))</f>
        <v>0</v>
      </c>
      <c r="E193" s="549"/>
      <c r="G193" s="556"/>
      <c r="H193" s="549"/>
      <c r="I193" s="549"/>
      <c r="J193" s="549"/>
      <c r="K193" s="549"/>
    </row>
    <row r="194" customFormat="false" ht="15.75" hidden="false" customHeight="true" outlineLevel="0" collapsed="false">
      <c r="D194" s="552" t="str">
        <f aca="false">HLOOKUP($C$1,$E$1:$X$4910,ROW(D194))</f>
        <v>Company details</v>
      </c>
      <c r="E194" s="549" t="s">
        <v>1532</v>
      </c>
      <c r="F194" s="549" t="s">
        <v>1533</v>
      </c>
      <c r="G194" s="556" t="s">
        <v>1534</v>
      </c>
      <c r="H194" s="549" t="s">
        <v>1535</v>
      </c>
      <c r="I194" s="549" t="str">
        <f aca="false">"[fr]"&amp;E194</f>
        <v>[fr]Fakten zum Unternehmen</v>
      </c>
      <c r="J194" s="549" t="str">
        <f aca="false">"[pt]"&amp;E194</f>
        <v>[pt]Fakten zum Unternehmen</v>
      </c>
      <c r="K194" s="549" t="str">
        <f aca="false">"[gr]"&amp;E194</f>
        <v>[gr]Fakten zum Unternehmen</v>
      </c>
    </row>
    <row r="195" customFormat="false" ht="121.5" hidden="false" customHeight="true" outlineLevel="0" collapsed="false">
      <c r="D195" s="552" t="str">
        <f aca="false">HLOOKUP($C$1,$E$1:$X$4910,ROW(D195))</f>
        <v>Fill in the highlighted fields below. Where detailed information is not available, please enter estimates, otherwise the calculation will not be accurate</v>
      </c>
      <c r="E195" s="555" t="s">
        <v>1536</v>
      </c>
      <c r="F195" s="549" t="s">
        <v>1537</v>
      </c>
      <c r="G195" s="556" t="s">
        <v>1538</v>
      </c>
      <c r="H195" s="549" t="s">
        <v>1539</v>
      </c>
      <c r="I195" s="549"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J195" s="549"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K195" s="549"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row>
    <row r="196" customFormat="false" ht="15.75" hidden="false" customHeight="true" outlineLevel="0" collapsed="false">
      <c r="D196" s="552" t="n">
        <f aca="false">HLOOKUP($C$1,$E$1:$X$4910,ROW(D196))</f>
        <v>0</v>
      </c>
      <c r="E196" s="549"/>
      <c r="G196" s="556"/>
      <c r="H196" s="549"/>
      <c r="I196" s="549"/>
      <c r="J196" s="549"/>
      <c r="K196" s="549"/>
    </row>
    <row r="197" customFormat="false" ht="15.75" hidden="false" customHeight="true" outlineLevel="0" collapsed="false">
      <c r="D197" s="552" t="n">
        <f aca="false">HLOOKUP($C$1,$E$1:$X$4910,ROW(D197))</f>
        <v>0</v>
      </c>
      <c r="E197" s="549"/>
      <c r="G197" s="556"/>
      <c r="H197" s="549"/>
      <c r="I197" s="549"/>
      <c r="J197" s="549"/>
      <c r="K197" s="549"/>
    </row>
    <row r="198" customFormat="false" ht="15.75" hidden="false" customHeight="true" outlineLevel="0" collapsed="false">
      <c r="D198" s="552" t="n">
        <f aca="false">HLOOKUP($C$1,$E$1:$X$4910,ROW(D198))</f>
        <v>0</v>
      </c>
      <c r="E198" s="549"/>
      <c r="G198" s="556"/>
      <c r="H198" s="549"/>
      <c r="I198" s="549"/>
      <c r="J198" s="549"/>
      <c r="K198" s="549"/>
    </row>
    <row r="199" customFormat="false" ht="15.75" hidden="false" customHeight="true" outlineLevel="0" collapsed="false">
      <c r="D199" s="552" t="n">
        <f aca="false">HLOOKUP($C$1,$E$1:$X$4910,ROW(D199))</f>
        <v>0</v>
      </c>
      <c r="E199" s="549"/>
      <c r="G199" s="556"/>
      <c r="H199" s="549"/>
      <c r="I199" s="549"/>
      <c r="J199" s="549"/>
      <c r="K199" s="549"/>
    </row>
    <row r="200" customFormat="false" ht="15.75" hidden="false" customHeight="true" outlineLevel="0" collapsed="false">
      <c r="D200" s="552" t="n">
        <f aca="false">HLOOKUP($C$1,$E$1:$X$4910,ROW(D200))</f>
        <v>0</v>
      </c>
      <c r="E200" s="549"/>
      <c r="G200" s="556"/>
      <c r="H200" s="549"/>
      <c r="I200" s="549"/>
      <c r="J200" s="549"/>
      <c r="K200" s="549"/>
    </row>
    <row r="201" customFormat="false" ht="15.75" hidden="false" customHeight="true" outlineLevel="0" collapsed="false">
      <c r="D201" s="552" t="n">
        <f aca="false">HLOOKUP($C$1,$E$1:$X$4910,ROW(D201))</f>
        <v>0</v>
      </c>
      <c r="E201" s="549"/>
      <c r="G201" s="556"/>
      <c r="H201" s="549"/>
      <c r="I201" s="549"/>
      <c r="J201" s="549"/>
      <c r="K201" s="549"/>
    </row>
    <row r="202" customFormat="false" ht="15.75" hidden="false" customHeight="true" outlineLevel="0" collapsed="false">
      <c r="D202" s="552" t="str">
        <f aca="false">HLOOKUP($C$1,$E$1:$X$4910,ROW(D202))</f>
        <v>Please enter</v>
      </c>
      <c r="E202" s="549" t="s">
        <v>1540</v>
      </c>
      <c r="F202" s="549" t="s">
        <v>1541</v>
      </c>
      <c r="G202" s="556" t="s">
        <v>1542</v>
      </c>
      <c r="H202" s="549" t="s">
        <v>1543</v>
      </c>
      <c r="I202" s="549" t="str">
        <f aca="false">"[fr]"&amp;E202</f>
        <v>[fr]bitte einfügen</v>
      </c>
      <c r="J202" s="549" t="str">
        <f aca="false">"[pt]"&amp;E202</f>
        <v>[pt]bitte einfügen</v>
      </c>
      <c r="K202" s="549" t="str">
        <f aca="false">"[gr]"&amp;E202</f>
        <v>[gr]bitte einfügen</v>
      </c>
    </row>
    <row r="203" customFormat="false" ht="15.75" hidden="false" customHeight="true" outlineLevel="0" collapsed="false">
      <c r="D203" s="552" t="str">
        <f aca="false">HLOOKUP($C$1,$E$1:$X$4910,ROW(D203))</f>
        <v>Please choose</v>
      </c>
      <c r="E203" s="549" t="s">
        <v>1544</v>
      </c>
      <c r="F203" s="549" t="s">
        <v>1545</v>
      </c>
      <c r="G203" s="556" t="s">
        <v>1546</v>
      </c>
      <c r="H203" s="549" t="s">
        <v>1547</v>
      </c>
      <c r="I203" s="549" t="str">
        <f aca="false">"[fr]"&amp;E203</f>
        <v>[fr]Bitte Auswählen</v>
      </c>
      <c r="J203" s="549" t="str">
        <f aca="false">"[pt]"&amp;E203</f>
        <v>[pt]Bitte Auswählen</v>
      </c>
      <c r="K203" s="549" t="str">
        <f aca="false">"[gr]"&amp;E203</f>
        <v>[gr]Bitte Auswählen</v>
      </c>
    </row>
    <row r="204" customFormat="false" ht="15.75" hidden="false" customHeight="true" outlineLevel="0" collapsed="false">
      <c r="D204" s="552" t="str">
        <f aca="false">HLOOKUP($C$1,$E$1:$X$4910,ROW(D204))</f>
        <v>Description of the weighting model</v>
      </c>
      <c r="E204" s="549" t="s">
        <v>1548</v>
      </c>
      <c r="F204" s="549" t="s">
        <v>1549</v>
      </c>
      <c r="G204" s="556" t="s">
        <v>1550</v>
      </c>
      <c r="H204" s="549" t="s">
        <v>1551</v>
      </c>
      <c r="I204" s="549" t="str">
        <f aca="false">"[fr]"&amp;E204</f>
        <v>[fr]Beschreibung des Gewichtungsmodelles</v>
      </c>
      <c r="J204" s="549" t="str">
        <f aca="false">"[pt]"&amp;E204</f>
        <v>[pt]Beschreibung des Gewichtungsmodelles</v>
      </c>
      <c r="K204" s="549" t="str">
        <f aca="false">"[gr]"&amp;E204</f>
        <v>[gr]Beschreibung des Gewichtungsmodelles</v>
      </c>
    </row>
    <row r="205" customFormat="false" ht="15.75" hidden="false" customHeight="true" outlineLevel="0" collapsed="false">
      <c r="D205" s="552" t="str">
        <f aca="false">HLOOKUP($C$1,$E$1:$X$4910,ROW(D205))</f>
        <v>Themes</v>
      </c>
      <c r="E205" s="549" t="s">
        <v>1552</v>
      </c>
      <c r="F205" s="549" t="s">
        <v>1553</v>
      </c>
      <c r="G205" s="556" t="s">
        <v>1554</v>
      </c>
      <c r="H205" s="549" t="s">
        <v>1555</v>
      </c>
      <c r="I205" s="549" t="str">
        <f aca="false">"[fr]"&amp;E205</f>
        <v>[fr]Themen</v>
      </c>
      <c r="J205" s="549" t="str">
        <f aca="false">"[pt]"&amp;E205</f>
        <v>[pt]Themen</v>
      </c>
      <c r="K205" s="549" t="str">
        <f aca="false">"[gr]"&amp;E205</f>
        <v>[gr]Themen</v>
      </c>
    </row>
    <row r="206" customFormat="false" ht="28.5" hidden="false" customHeight="true" outlineLevel="0" collapsed="false">
      <c r="D206" s="552" t="str">
        <f aca="false">HLOOKUP($C$1,$E$1:$X$4910,ROW(D206))</f>
        <v>Values ►
Stakekolders ▼</v>
      </c>
      <c r="E206" s="596" t="s">
        <v>1556</v>
      </c>
      <c r="F206" s="596" t="s">
        <v>1557</v>
      </c>
      <c r="G206" s="596" t="s">
        <v>1558</v>
      </c>
      <c r="H206" s="549" t="s">
        <v>1559</v>
      </c>
      <c r="I206" s="549" t="str">
        <f aca="false">"[fr]"&amp;E206</f>
        <v>[fr]Werte ►
Berührungsgruppe ▼</v>
      </c>
      <c r="J206" s="549" t="str">
        <f aca="false">"[pt]"&amp;E206</f>
        <v>[pt]Werte ►
Berührungsgruppe ▼</v>
      </c>
      <c r="K206" s="549" t="str">
        <f aca="false">"[gr]"&amp;E206</f>
        <v>[gr]Werte ►
Berührungsgruppe ▼</v>
      </c>
    </row>
    <row r="207" customFormat="false" ht="15.75" hidden="false" customHeight="true" outlineLevel="0" collapsed="false">
      <c r="D207" s="552" t="str">
        <f aca="false">HLOOKUP($C$1,$E$1:$X$4910,ROW(D207))</f>
        <v>Stakekolders &amp; values</v>
      </c>
      <c r="E207" s="549" t="s">
        <v>1560</v>
      </c>
      <c r="F207" s="596" t="s">
        <v>1561</v>
      </c>
      <c r="G207" s="597" t="s">
        <v>1562</v>
      </c>
      <c r="H207" s="549" t="s">
        <v>1563</v>
      </c>
      <c r="I207" s="549" t="str">
        <f aca="false">"[fr]"&amp;E207</f>
        <v>[fr]Berührungsgruppen &amp; Werte</v>
      </c>
      <c r="J207" s="549" t="str">
        <f aca="false">"[pt]"&amp;E207</f>
        <v>[pt]Berührungsgruppen &amp; Werte</v>
      </c>
      <c r="K207" s="549" t="str">
        <f aca="false">"[gr]"&amp;E207</f>
        <v>[gr]Berührungsgruppen &amp; Werte</v>
      </c>
    </row>
    <row r="208" customFormat="false" ht="15.75" hidden="false" customHeight="true" outlineLevel="0" collapsed="false">
      <c r="D208" s="552" t="str">
        <f aca="false">HLOOKUP($C$1,$E$1:$X$4910,ROW(D208))</f>
        <v>General</v>
      </c>
      <c r="E208" s="549" t="s">
        <v>1564</v>
      </c>
      <c r="F208" s="549" t="s">
        <v>1565</v>
      </c>
      <c r="G208" s="556" t="s">
        <v>1566</v>
      </c>
      <c r="H208" s="549" t="s">
        <v>1566</v>
      </c>
      <c r="I208" s="549" t="str">
        <f aca="false">"[fr]"&amp;E208</f>
        <v>[fr]Allgemein</v>
      </c>
      <c r="J208" s="549" t="str">
        <f aca="false">"[pt]"&amp;E208</f>
        <v>[pt]Allgemein</v>
      </c>
      <c r="K208" s="549" t="str">
        <f aca="false">"[gr]"&amp;E208</f>
        <v>[gr]Allgemein</v>
      </c>
    </row>
    <row r="209" customFormat="false" ht="15.75" hidden="false" customHeight="true" outlineLevel="0" collapsed="false">
      <c r="D209" s="552" t="str">
        <f aca="false">HLOOKUP($C$1,$E$1:$X$4910,ROW(D209))</f>
        <v>Notes</v>
      </c>
      <c r="E209" s="549" t="s">
        <v>1567</v>
      </c>
      <c r="F209" s="549" t="s">
        <v>1568</v>
      </c>
      <c r="G209" s="556" t="s">
        <v>1569</v>
      </c>
      <c r="H209" s="549" t="s">
        <v>1570</v>
      </c>
      <c r="I209" s="549" t="str">
        <f aca="false">"[fr]"&amp;E209</f>
        <v>[fr]Anmerkungen</v>
      </c>
      <c r="J209" s="549" t="str">
        <f aca="false">"[pt]"&amp;E209</f>
        <v>[pt]Anmerkungen</v>
      </c>
      <c r="K209" s="549" t="str">
        <f aca="false">"[gr]"&amp;E209</f>
        <v>[gr]Anmerkungen</v>
      </c>
    </row>
    <row r="210" customFormat="false" ht="15.75" hidden="false" customHeight="true" outlineLevel="0" collapsed="false">
      <c r="D210" s="552" t="str">
        <f aca="false">HLOOKUP($C$1,$E$1:$X$4910,ROW(D210))</f>
        <v>(scaled for STs)</v>
      </c>
      <c r="E210" s="549" t="s">
        <v>1571</v>
      </c>
      <c r="F210" s="549" t="s">
        <v>1572</v>
      </c>
      <c r="G210" s="556" t="s">
        <v>1573</v>
      </c>
      <c r="H210" s="549" t="s">
        <v>1574</v>
      </c>
      <c r="I210" s="549" t="str">
        <f aca="false">"[fr]"&amp;E210</f>
        <v>[fr] (für EPUs skaliert)</v>
      </c>
      <c r="J210" s="549" t="str">
        <f aca="false">"[pt]"&amp;E210</f>
        <v>[pt] (für EPUs skaliert)</v>
      </c>
      <c r="K210" s="549" t="str">
        <f aca="false">"[gr]"&amp;E210</f>
        <v>[gr] (für EPUs skaliert)</v>
      </c>
    </row>
    <row r="211" customFormat="false" ht="15.75" hidden="false" customHeight="true" outlineLevel="0" collapsed="false">
      <c r="D211" s="552" t="str">
        <f aca="false">HLOOKUP($C$1,$E$1:$X$4910,ROW(D211))</f>
        <v>(not relevant for STs)</v>
      </c>
      <c r="E211" s="549" t="s">
        <v>1575</v>
      </c>
      <c r="F211" s="549" t="s">
        <v>1576</v>
      </c>
      <c r="G211" s="556" t="s">
        <v>1577</v>
      </c>
      <c r="H211" s="549" t="s">
        <v>1578</v>
      </c>
      <c r="I211" s="549" t="str">
        <f aca="false">"[fr]"&amp;E211</f>
        <v>[fr] (für EPUs nicht relevant)</v>
      </c>
      <c r="J211" s="549" t="str">
        <f aca="false">"[pt]"&amp;E211</f>
        <v>[pt] (für EPUs nicht relevant)</v>
      </c>
      <c r="K211" s="549" t="str">
        <f aca="false">"[gr]"&amp;E211</f>
        <v>[gr] (für EPUs nicht relevant)</v>
      </c>
    </row>
    <row r="212" customFormat="false" ht="15.75" hidden="false" customHeight="true" outlineLevel="0" collapsed="false">
      <c r="D212" s="552" t="str">
        <f aca="false">HLOOKUP($C$1,$E$1:$X$4910,ROW(D212))</f>
        <v>Note: This is not a certificate.</v>
      </c>
      <c r="E212" s="549" t="s">
        <v>1579</v>
      </c>
      <c r="F212" s="549" t="s">
        <v>1580</v>
      </c>
      <c r="G212" s="556" t="s">
        <v>1581</v>
      </c>
      <c r="H212" s="549" t="s">
        <v>1582</v>
      </c>
      <c r="I212" s="549" t="str">
        <f aca="false">"[fr]"&amp;E212</f>
        <v>[fr]Anmerkung: Dies ist kein Testat.</v>
      </c>
      <c r="J212" s="549" t="str">
        <f aca="false">"[pt]"&amp;E212</f>
        <v>[pt]Anmerkung: Dies ist kein Testat.</v>
      </c>
      <c r="K212" s="549" t="str">
        <f aca="false">"[gr]"&amp;E212</f>
        <v>[gr]Anmerkung: Dies ist kein Testat.</v>
      </c>
    </row>
    <row r="213" customFormat="false" ht="15.75" hidden="false" customHeight="true" outlineLevel="0" collapsed="false">
      <c r="D213" s="552" t="str">
        <f aca="false">HLOOKUP($C$1,$E$1:$X$4910,ROW(D213))</f>
        <v>COMMON GOOD MATRIX</v>
      </c>
      <c r="E213" s="549" t="s">
        <v>1583</v>
      </c>
      <c r="F213" s="549" t="s">
        <v>1584</v>
      </c>
      <c r="G213" s="556" t="s">
        <v>1585</v>
      </c>
      <c r="H213" s="549" t="s">
        <v>1586</v>
      </c>
      <c r="I213" s="549" t="str">
        <f aca="false">"[fr]"&amp;E213</f>
        <v>[fr]GEMEINWOHL-MATRIX</v>
      </c>
      <c r="J213" s="549" t="str">
        <f aca="false">"[pt]"&amp;E213</f>
        <v>[pt]GEMEINWOHL-MATRIX</v>
      </c>
      <c r="K213" s="549" t="str">
        <f aca="false">"[gr]"&amp;E213</f>
        <v>[gr]GEMEINWOHL-MATRIX</v>
      </c>
    </row>
    <row r="214" customFormat="false" ht="15.75" hidden="false" customHeight="true" outlineLevel="0" collapsed="false">
      <c r="D214" s="552" t="str">
        <f aca="false">HLOOKUP($C$1,$E$1:$X$4910,ROW(D214))</f>
        <v>of</v>
      </c>
      <c r="E214" s="549" t="s">
        <v>1587</v>
      </c>
      <c r="F214" s="549" t="s">
        <v>1588</v>
      </c>
      <c r="G214" s="556" t="s">
        <v>1589</v>
      </c>
      <c r="H214" s="549" t="s">
        <v>1590</v>
      </c>
      <c r="I214" s="549" t="str">
        <f aca="false">"[fr]"&amp;E214</f>
        <v>[fr] von</v>
      </c>
      <c r="J214" s="549" t="str">
        <f aca="false">"[pt]"&amp;E214</f>
        <v>[pt] von</v>
      </c>
      <c r="K214" s="549" t="str">
        <f aca="false">"[gr]"&amp;E214</f>
        <v>[gr] von</v>
      </c>
    </row>
    <row r="215" customFormat="false" ht="15.75" hidden="false" customHeight="true" outlineLevel="0" collapsed="false">
      <c r="D215" s="552" t="str">
        <f aca="false">HLOOKUP($C$1,$E$1:$X$4910,ROW(D215))</f>
        <v>points</v>
      </c>
      <c r="E215" s="549" t="s">
        <v>1591</v>
      </c>
      <c r="F215" s="549" t="s">
        <v>1592</v>
      </c>
      <c r="G215" s="556" t="s">
        <v>1593</v>
      </c>
      <c r="H215" s="549" t="s">
        <v>1594</v>
      </c>
      <c r="I215" s="549" t="str">
        <f aca="false">"[fr]"&amp;E215</f>
        <v>[fr] Punkten</v>
      </c>
      <c r="J215" s="549" t="str">
        <f aca="false">"[pt]"&amp;E215</f>
        <v>[pt] Punkten</v>
      </c>
      <c r="K215" s="549" t="str">
        <f aca="false">"[gr]"&amp;E215</f>
        <v>[gr] Punkten</v>
      </c>
    </row>
    <row r="216" customFormat="false" ht="15.75" hidden="false" customHeight="true" outlineLevel="0" collapsed="false">
      <c r="D216" s="552" t="str">
        <f aca="false">HLOOKUP($C$1,$E$1:$X$4910,ROW(D216))</f>
        <v>Human dignity</v>
      </c>
      <c r="E216" s="549" t="s">
        <v>1595</v>
      </c>
      <c r="F216" s="549" t="s">
        <v>1596</v>
      </c>
      <c r="G216" s="556" t="s">
        <v>1597</v>
      </c>
      <c r="H216" s="549" t="s">
        <v>1598</v>
      </c>
      <c r="I216" s="549" t="str">
        <f aca="false">"[fr]"&amp;E216</f>
        <v>[fr]Menschenwürde</v>
      </c>
      <c r="J216" s="549" t="str">
        <f aca="false">"[pt]"&amp;E216</f>
        <v>[pt]Menschenwürde</v>
      </c>
      <c r="K216" s="549" t="str">
        <f aca="false">"[gr]"&amp;E216</f>
        <v>[gr]Menschenwürde</v>
      </c>
    </row>
    <row r="217" customFormat="false" ht="15.75" hidden="false" customHeight="true" outlineLevel="0" collapsed="false">
      <c r="D217" s="552" t="str">
        <f aca="false">HLOOKUP($C$1,$E$1:$X$4910,ROW(D217))</f>
        <v>Solidarity &amp; social justice</v>
      </c>
      <c r="E217" s="549" t="s">
        <v>1599</v>
      </c>
      <c r="F217" s="549" t="s">
        <v>1600</v>
      </c>
      <c r="G217" s="556" t="s">
        <v>1601</v>
      </c>
      <c r="H217" s="549" t="s">
        <v>1602</v>
      </c>
      <c r="I217" s="549" t="str">
        <f aca="false">"[fr]"&amp;E217</f>
        <v>[fr]Solidarität &amp; Gerechtigkeit</v>
      </c>
      <c r="J217" s="549" t="str">
        <f aca="false">"[pt]"&amp;E217</f>
        <v>[pt]Solidarität &amp; Gerechtigkeit</v>
      </c>
      <c r="K217" s="549" t="str">
        <f aca="false">"[gr]"&amp;E217</f>
        <v>[gr]Solidarität &amp; Gerechtigkeit</v>
      </c>
    </row>
    <row r="218" customFormat="false" ht="15.75" hidden="false" customHeight="true" outlineLevel="0" collapsed="false">
      <c r="D218" s="552" t="str">
        <f aca="false">HLOOKUP($C$1,$E$1:$X$4910,ROW(D218))</f>
        <v>Environmental sustainability</v>
      </c>
      <c r="E218" s="549" t="s">
        <v>1603</v>
      </c>
      <c r="F218" s="549" t="s">
        <v>1604</v>
      </c>
      <c r="G218" s="556" t="s">
        <v>1605</v>
      </c>
      <c r="H218" s="549" t="s">
        <v>1606</v>
      </c>
      <c r="I218" s="549" t="str">
        <f aca="false">"[fr]"&amp;E218</f>
        <v>[fr]Ökologische Nachhaltigkeit</v>
      </c>
      <c r="J218" s="549" t="str">
        <f aca="false">"[pt]"&amp;E218</f>
        <v>[pt]Ökologische Nachhaltigkeit</v>
      </c>
      <c r="K218" s="549" t="str">
        <f aca="false">"[gr]"&amp;E218</f>
        <v>[gr]Ökologische Nachhaltigkeit</v>
      </c>
    </row>
    <row r="219" customFormat="false" ht="15.75" hidden="false" customHeight="true" outlineLevel="0" collapsed="false">
      <c r="D219" s="552" t="str">
        <f aca="false">HLOOKUP($C$1,$E$1:$X$4910,ROW(D219))</f>
        <v>Transparency &amp; co-determination</v>
      </c>
      <c r="E219" s="549" t="s">
        <v>1607</v>
      </c>
      <c r="F219" s="549" t="s">
        <v>1608</v>
      </c>
      <c r="G219" s="556" t="s">
        <v>1609</v>
      </c>
      <c r="H219" s="549" t="s">
        <v>1610</v>
      </c>
      <c r="I219" s="549" t="str">
        <f aca="false">"[fr]"&amp;E219</f>
        <v>[fr]Transparenz &amp; Mitentscheidung</v>
      </c>
      <c r="J219" s="549" t="str">
        <f aca="false">"[pt]"&amp;E219</f>
        <v>[pt]Transparenz &amp; Mitentscheidung</v>
      </c>
      <c r="K219" s="549" t="str">
        <f aca="false">"[gr]"&amp;E219</f>
        <v>[gr]Transparenz &amp; Mitentscheidung</v>
      </c>
    </row>
    <row r="220" customFormat="false" ht="15.75" hidden="false" customHeight="true" outlineLevel="0" collapsed="false">
      <c r="D220" s="552" t="str">
        <f aca="false">HLOOKUP($C$1,$E$1:$X$4910,ROW(D220))</f>
        <v>Common Good Star for</v>
      </c>
      <c r="E220" s="549" t="s">
        <v>1611</v>
      </c>
      <c r="F220" s="549" t="s">
        <v>1612</v>
      </c>
      <c r="G220" s="556" t="s">
        <v>1613</v>
      </c>
      <c r="H220" s="549" t="s">
        <v>1614</v>
      </c>
      <c r="I220" s="549" t="str">
        <f aca="false">"[fr]"&amp;E220</f>
        <v>[fr]Gemeinwohl-Stern für</v>
      </c>
      <c r="J220" s="549" t="str">
        <f aca="false">"[pt]"&amp;E220</f>
        <v>[pt]Gemeinwohl-Stern für</v>
      </c>
      <c r="K220" s="549" t="str">
        <f aca="false">"[gr]"&amp;E220</f>
        <v>[gr]Gemeinwohl-Stern für</v>
      </c>
    </row>
    <row r="221" customFormat="false" ht="15.75" hidden="false" customHeight="true" outlineLevel="0" collapsed="false">
      <c r="D221" s="552" t="str">
        <f aca="false">HLOOKUP($C$1,$E$1:$X$4910,ROW(D221))</f>
        <v>BALANCE OVERVIEW</v>
      </c>
      <c r="E221" s="549" t="s">
        <v>1615</v>
      </c>
      <c r="F221" s="549" t="s">
        <v>1616</v>
      </c>
      <c r="G221" s="556" t="s">
        <v>1617</v>
      </c>
      <c r="H221" s="549" t="s">
        <v>1618</v>
      </c>
      <c r="I221" s="549" t="str">
        <f aca="false">"[fr]"&amp;E221</f>
        <v>[fr]BILANZ-ÜBERSICHT</v>
      </c>
      <c r="J221" s="549" t="str">
        <f aca="false">"[pt]"&amp;E221</f>
        <v>[pt]BILANZ-ÜBERSICHT</v>
      </c>
      <c r="K221" s="549" t="str">
        <f aca="false">"[gr]"&amp;E221</f>
        <v>[gr]BILANZ-ÜBERSICHT</v>
      </c>
    </row>
    <row r="222" customFormat="false" ht="15.75" hidden="false" customHeight="true" outlineLevel="0" collapsed="false">
      <c r="D222" s="552" t="str">
        <f aca="false">HLOOKUP($C$1,$E$1:$X$4910,ROW(D222))</f>
        <v>TRANSPARENCY &amp; CO-DETERMINATION</v>
      </c>
      <c r="E222" s="549" t="s">
        <v>1619</v>
      </c>
      <c r="F222" s="549" t="s">
        <v>1620</v>
      </c>
      <c r="G222" s="556" t="s">
        <v>1621</v>
      </c>
      <c r="H222" s="549" t="s">
        <v>1622</v>
      </c>
      <c r="I222" s="549" t="str">
        <f aca="false">"[fr]"&amp;E222</f>
        <v>[fr]MITBESTIMMUNG UND TRANSPARENZ</v>
      </c>
      <c r="J222" s="549" t="str">
        <f aca="false">"[pt]"&amp;E222</f>
        <v>[pt]MITBESTIMMUNG UND TRANSPARENZ</v>
      </c>
      <c r="K222" s="549" t="str">
        <f aca="false">"[gr]"&amp;E222</f>
        <v>[gr]MITBESTIMMUNG UND TRANSPARENZ</v>
      </c>
    </row>
    <row r="223" customFormat="false" ht="15.75" hidden="false" customHeight="true" outlineLevel="0" collapsed="false">
      <c r="D223" s="552" t="str">
        <f aca="false">HLOOKUP($C$1,$E$1:$X$4910,ROW(D223))</f>
        <v>HUMAN DIGNITY</v>
      </c>
      <c r="E223" s="549" t="s">
        <v>1623</v>
      </c>
      <c r="F223" s="549" t="s">
        <v>1624</v>
      </c>
      <c r="G223" s="556" t="s">
        <v>1625</v>
      </c>
      <c r="H223" s="549" t="s">
        <v>1626</v>
      </c>
      <c r="I223" s="549" t="str">
        <f aca="false">"[fr]"&amp;E223</f>
        <v>[fr]MENSCHENWÜRDE</v>
      </c>
      <c r="J223" s="549" t="str">
        <f aca="false">"[pt]"&amp;E223</f>
        <v>[pt]MENSCHENWÜRDE</v>
      </c>
      <c r="K223" s="549" t="str">
        <f aca="false">"[gr]"&amp;E223</f>
        <v>[gr]MENSCHENWÜRDE</v>
      </c>
    </row>
    <row r="224" customFormat="false" ht="15.75" hidden="false" customHeight="true" outlineLevel="0" collapsed="false">
      <c r="D224" s="552" t="str">
        <f aca="false">HLOOKUP($C$1,$E$1:$X$4910,ROW(D224))</f>
        <v>SOLIDARITY</v>
      </c>
      <c r="E224" s="549" t="s">
        <v>1627</v>
      </c>
      <c r="F224" s="549" t="s">
        <v>1628</v>
      </c>
      <c r="G224" s="556" t="s">
        <v>1629</v>
      </c>
      <c r="H224" s="549" t="s">
        <v>1630</v>
      </c>
      <c r="I224" s="549" t="str">
        <f aca="false">"[fr]"&amp;E224</f>
        <v>[fr]SOLIDARITÄT</v>
      </c>
      <c r="J224" s="549" t="str">
        <f aca="false">"[pt]"&amp;E224</f>
        <v>[pt]SOLIDARITÄT</v>
      </c>
      <c r="K224" s="549" t="str">
        <f aca="false">"[gr]"&amp;E224</f>
        <v>[gr]SOLIDARITÄT</v>
      </c>
    </row>
    <row r="225" customFormat="false" ht="15.75" hidden="false" customHeight="true" outlineLevel="0" collapsed="false">
      <c r="D225" s="552" t="str">
        <f aca="false">HLOOKUP($C$1,$E$1:$X$4910,ROW(D225))</f>
        <v>ENVIRONMENTAL SUSTAINABILITY</v>
      </c>
      <c r="E225" s="549" t="s">
        <v>1631</v>
      </c>
      <c r="F225" s="549" t="s">
        <v>1632</v>
      </c>
      <c r="G225" s="556" t="s">
        <v>1633</v>
      </c>
      <c r="H225" s="549" t="s">
        <v>1634</v>
      </c>
      <c r="I225" s="549" t="str">
        <f aca="false">"[fr]"&amp;E225</f>
        <v>[fr]ÖKOLOGISCHE NACHHALTIGKEIT</v>
      </c>
      <c r="J225" s="549" t="str">
        <f aca="false">"[pt]"&amp;E225</f>
        <v>[pt]ÖKOLOGISCHE NACHHALTIGKEIT</v>
      </c>
      <c r="K225" s="549" t="str">
        <f aca="false">"[gr]"&amp;E225</f>
        <v>[gr]ÖKOLOGISCHE NACHHALTIGKEIT</v>
      </c>
    </row>
    <row r="226" customFormat="false" ht="15.75" hidden="false" customHeight="true" outlineLevel="0" collapsed="false">
      <c r="D226" s="552" t="str">
        <f aca="false">HLOOKUP($C$1,$E$1:$X$4910,ROW(D226))</f>
        <v>SOCIAL JUSTICE</v>
      </c>
      <c r="E226" s="549" t="s">
        <v>1635</v>
      </c>
      <c r="F226" s="549" t="s">
        <v>1636</v>
      </c>
      <c r="G226" s="556" t="s">
        <v>1637</v>
      </c>
      <c r="H226" s="549" t="s">
        <v>1638</v>
      </c>
      <c r="I226" s="549" t="str">
        <f aca="false">"[fr]"&amp;E226</f>
        <v>[fr]SOZIALE GERECHTIGKEIT</v>
      </c>
      <c r="J226" s="549" t="str">
        <f aca="false">"[pt]"&amp;E226</f>
        <v>[pt]SOZIALE GERECHTIGKEIT</v>
      </c>
      <c r="K226" s="549" t="str">
        <f aca="false">"[gr]"&amp;E226</f>
        <v>[gr]SOZIALE GERECHTIGKEIT</v>
      </c>
    </row>
    <row r="227" customFormat="false" ht="15.75" hidden="false" customHeight="true" outlineLevel="0" collapsed="false">
      <c r="D227" s="552" t="str">
        <f aca="false">HLOOKUP($C$1,$E$1:$X$4910,ROW(D227))</f>
        <v>TRANSPARENCY &amp; CO-DETERMINATION</v>
      </c>
      <c r="E227" s="549" t="s">
        <v>1619</v>
      </c>
      <c r="F227" s="549" t="s">
        <v>1620</v>
      </c>
      <c r="G227" s="556" t="s">
        <v>1621</v>
      </c>
      <c r="H227" s="549" t="s">
        <v>1622</v>
      </c>
      <c r="I227" s="549" t="str">
        <f aca="false">"[fr]"&amp;E227</f>
        <v>[fr]MITBESTIMMUNG UND TRANSPARENZ</v>
      </c>
      <c r="J227" s="549" t="str">
        <f aca="false">"[pt]"&amp;E227</f>
        <v>[pt]MITBESTIMMUNG UND TRANSPARENZ</v>
      </c>
      <c r="K227" s="549" t="str">
        <f aca="false">"[gr]"&amp;E227</f>
        <v>[gr]MITBESTIMMUNG UND TRANSPARENZ</v>
      </c>
    </row>
    <row r="228" customFormat="false" ht="15.75" hidden="false" customHeight="true" outlineLevel="0" collapsed="false">
      <c r="D228" s="552" t="str">
        <f aca="false">HLOOKUP($C$1,$E$1:$X$4910,ROW(D228))</f>
        <v>TOTAL</v>
      </c>
      <c r="E228" s="549" t="s">
        <v>1639</v>
      </c>
      <c r="F228" s="549" t="s">
        <v>1640</v>
      </c>
      <c r="G228" s="556" t="s">
        <v>1641</v>
      </c>
      <c r="H228" s="549" t="s">
        <v>1641</v>
      </c>
      <c r="I228" s="549" t="str">
        <f aca="false">"[fr]"&amp;E228</f>
        <v>[fr]SUMME</v>
      </c>
      <c r="J228" s="549" t="str">
        <f aca="false">"[pt]"&amp;E228</f>
        <v>[pt]SUMME</v>
      </c>
      <c r="K228" s="549" t="str">
        <f aca="false">"[gr]"&amp;E228</f>
        <v>[gr]SUMME</v>
      </c>
    </row>
    <row r="229" customFormat="false" ht="15.75" hidden="false" customHeight="true" outlineLevel="0" collapsed="false">
      <c r="D229" s="552" t="str">
        <f aca="false">HLOOKUP($C$1,$E$1:$X$4910,ROW(D229))</f>
        <v>(scaled for STs)</v>
      </c>
      <c r="E229" s="549" t="s">
        <v>1642</v>
      </c>
      <c r="F229" s="549" t="s">
        <v>1643</v>
      </c>
      <c r="G229" s="556" t="s">
        <v>1644</v>
      </c>
      <c r="H229" s="549" t="s">
        <v>1574</v>
      </c>
      <c r="I229" s="549" t="str">
        <f aca="false">"[fr]"&amp;E229</f>
        <v>[fr](für EPUs skaliert)</v>
      </c>
      <c r="J229" s="549" t="str">
        <f aca="false">"[pt]"&amp;E229</f>
        <v>[pt](für EPUs skaliert)</v>
      </c>
      <c r="K229" s="549" t="str">
        <f aca="false">"[gr]"&amp;E229</f>
        <v>[gr](für EPUs skaliert)</v>
      </c>
    </row>
    <row r="230" customFormat="false" ht="15.75" hidden="false" customHeight="true" outlineLevel="0" collapsed="false">
      <c r="D230" s="552" t="str">
        <f aca="false">HLOOKUP($C$1,$E$1:$X$4910,ROW(D230))</f>
        <v>Documentation of assessment</v>
      </c>
      <c r="E230" s="549" t="s">
        <v>1645</v>
      </c>
      <c r="F230" s="549" t="s">
        <v>1646</v>
      </c>
      <c r="G230" s="556" t="s">
        <v>1647</v>
      </c>
      <c r="H230" s="549" t="s">
        <v>1648</v>
      </c>
      <c r="I230" s="549" t="str">
        <f aca="false">"[fr]"&amp;E230</f>
        <v>[fr]Dokumentation der Bewertung</v>
      </c>
      <c r="J230" s="549" t="str">
        <f aca="false">"[pt]"&amp;E230</f>
        <v>[pt]Dokumentation der Bewertung</v>
      </c>
      <c r="K230" s="549" t="str">
        <f aca="false">"[gr]"&amp;E230</f>
        <v>[gr]Dokumentation der Bewertung</v>
      </c>
    </row>
    <row r="231" customFormat="false" ht="15.75" hidden="false" customHeight="true" outlineLevel="0" collapsed="false">
      <c r="D231" s="552" t="str">
        <f aca="false">HLOOKUP($C$1,$E$1:$X$4910,ROW(D231))</f>
        <v>Self-assessment</v>
      </c>
      <c r="E231" s="549" t="s">
        <v>1649</v>
      </c>
      <c r="F231" s="549" t="s">
        <v>1650</v>
      </c>
      <c r="G231" s="556" t="s">
        <v>1651</v>
      </c>
      <c r="H231" s="549" t="s">
        <v>1652</v>
      </c>
      <c r="I231" s="549" t="str">
        <f aca="false">"[fr]"&amp;E231</f>
        <v>[fr]Selbsteinschätzung</v>
      </c>
      <c r="J231" s="549" t="str">
        <f aca="false">"[pt]"&amp;E231</f>
        <v>[pt]Selbsteinschätzung</v>
      </c>
      <c r="K231" s="549" t="str">
        <f aca="false">"[gr]"&amp;E231</f>
        <v>[gr]Selbsteinschätzung</v>
      </c>
    </row>
    <row r="232" customFormat="false" ht="15.75" hidden="false" customHeight="true" outlineLevel="0" collapsed="false">
      <c r="D232" s="552" t="str">
        <f aca="false">HLOOKUP($C$1,$E$1:$X$4910,ROW(D232))</f>
        <v>Peer-assessment</v>
      </c>
      <c r="E232" s="598" t="s">
        <v>1653</v>
      </c>
      <c r="F232" s="598" t="s">
        <v>1654</v>
      </c>
      <c r="G232" s="599" t="s">
        <v>1655</v>
      </c>
      <c r="H232" s="549" t="s">
        <v>1656</v>
      </c>
      <c r="I232" s="549" t="str">
        <f aca="false">"[fr]"&amp;E232</f>
        <v>[fr]Peer-Evaluation</v>
      </c>
      <c r="J232" s="549" t="str">
        <f aca="false">"[pt]"&amp;E232</f>
        <v>[pt]Peer-Evaluation</v>
      </c>
      <c r="K232" s="549" t="str">
        <f aca="false">"[gr]"&amp;E232</f>
        <v>[gr]Peer-Evaluation</v>
      </c>
    </row>
    <row r="233" customFormat="false" ht="15.75" hidden="false" customHeight="true" outlineLevel="0" collapsed="false">
      <c r="D233" s="552" t="str">
        <f aca="false">HLOOKUP($C$1,$E$1:$X$4910,ROW(D233))</f>
        <v>Provisional audit assessment</v>
      </c>
      <c r="E233" s="598" t="s">
        <v>1657</v>
      </c>
      <c r="F233" s="598" t="s">
        <v>1658</v>
      </c>
      <c r="G233" s="599" t="s">
        <v>1659</v>
      </c>
      <c r="H233" s="549" t="s">
        <v>1660</v>
      </c>
      <c r="I233" s="549" t="str">
        <f aca="false">"[fr]"&amp;E233</f>
        <v>[fr]Provisorische Bewertung des externen Audits</v>
      </c>
      <c r="J233" s="549" t="str">
        <f aca="false">"[pt]"&amp;E233</f>
        <v>[pt]Provisorische Bewertung des externen Audits</v>
      </c>
      <c r="K233" s="549" t="str">
        <f aca="false">"[gr]"&amp;E233</f>
        <v>[gr]Provisorische Bewertung des externen Audits</v>
      </c>
    </row>
    <row r="234" customFormat="false" ht="15.75" hidden="false" customHeight="true" outlineLevel="0" collapsed="false">
      <c r="D234" s="552" t="str">
        <f aca="false">HLOOKUP($C$1,$E$1:$X$4910,ROW(D234))</f>
        <v>Agreed audit assessment</v>
      </c>
      <c r="E234" s="598" t="s">
        <v>1661</v>
      </c>
      <c r="F234" s="598" t="s">
        <v>1662</v>
      </c>
      <c r="G234" s="599" t="s">
        <v>1663</v>
      </c>
      <c r="H234" s="549" t="s">
        <v>1664</v>
      </c>
      <c r="I234" s="549" t="str">
        <f aca="false">"[fr]"&amp;E234</f>
        <v>[fr]Definitive Bewertung externen Audits /Peer</v>
      </c>
      <c r="J234" s="549" t="str">
        <f aca="false">"[pt]"&amp;E234</f>
        <v>[pt]Definitive Bewertung externen Audits /Peer</v>
      </c>
      <c r="K234" s="549" t="str">
        <f aca="false">"[gr]"&amp;E234</f>
        <v>[gr]Definitive Bewertung externen Audits /Peer</v>
      </c>
    </row>
    <row r="235" customFormat="false" ht="15.75" hidden="false" customHeight="true" outlineLevel="0" collapsed="false">
      <c r="D235" s="552" t="str">
        <f aca="false">HLOOKUP($C$1,$E$1:$X$4910,ROW(D235))</f>
        <v>Password for EXCEL sheet protection "ebc"</v>
      </c>
      <c r="E235" s="549" t="s">
        <v>1665</v>
      </c>
      <c r="F235" s="549" t="s">
        <v>1666</v>
      </c>
      <c r="G235" s="556" t="s">
        <v>1667</v>
      </c>
      <c r="H235" s="549" t="s">
        <v>1668</v>
      </c>
      <c r="I235" s="549" t="str">
        <f aca="false">"[fr]"&amp;E235</f>
        <v>[fr]Passwort für den Schutz der Tabellen: „ebc“</v>
      </c>
      <c r="J235" s="549" t="str">
        <f aca="false">"[pt]"&amp;E235</f>
        <v>[pt]Passwort für den Schutz der Tabellen: „ebc“</v>
      </c>
      <c r="K235" s="549" t="str">
        <f aca="false">"[gr]"&amp;E235</f>
        <v>[gr]Passwort für den Schutz der Tabellen: „ebc“</v>
      </c>
    </row>
    <row r="236" customFormat="false" ht="15.75" hidden="false" customHeight="true" outlineLevel="0" collapsed="false">
      <c r="C236" s="569" t="n">
        <v>3</v>
      </c>
      <c r="D236" s="552" t="str">
        <f aca="false">HLOOKUP($C$1,$E$1:$X$4910,ROW(D236))</f>
        <v>high</v>
      </c>
      <c r="E236" s="549" t="s">
        <v>167</v>
      </c>
      <c r="F236" s="549" t="s">
        <v>1073</v>
      </c>
      <c r="G236" s="556" t="s">
        <v>1074</v>
      </c>
      <c r="H236" s="549" t="s">
        <v>1669</v>
      </c>
      <c r="I236" s="549" t="str">
        <f aca="false">"[fr]"&amp;E236</f>
        <v>[fr]hoch</v>
      </c>
      <c r="J236" s="549" t="str">
        <f aca="false">"[pt]"&amp;E236</f>
        <v>[pt]hoch</v>
      </c>
      <c r="K236" s="549" t="str">
        <f aca="false">"[gr]"&amp;E236</f>
        <v>[gr]hoch</v>
      </c>
    </row>
    <row r="237" customFormat="false" ht="15.75" hidden="false" customHeight="true" outlineLevel="0" collapsed="false">
      <c r="C237" s="569" t="n">
        <v>2</v>
      </c>
      <c r="D237" s="552" t="str">
        <f aca="false">HLOOKUP($C$1,$E$1:$X$4910,ROW(D237))</f>
        <v>medium</v>
      </c>
      <c r="E237" s="549" t="s">
        <v>166</v>
      </c>
      <c r="F237" s="549" t="s">
        <v>1076</v>
      </c>
      <c r="G237" s="556" t="s">
        <v>1077</v>
      </c>
      <c r="H237" s="549" t="s">
        <v>1670</v>
      </c>
      <c r="I237" s="549" t="str">
        <f aca="false">"[fr]"&amp;E237</f>
        <v>[fr]mittel</v>
      </c>
      <c r="J237" s="549" t="str">
        <f aca="false">"[pt]"&amp;E237</f>
        <v>[pt]mittel</v>
      </c>
      <c r="K237" s="549" t="str">
        <f aca="false">"[gr]"&amp;E237</f>
        <v>[gr]mittel</v>
      </c>
    </row>
    <row r="238" customFormat="false" ht="15.75" hidden="false" customHeight="true" outlineLevel="0" collapsed="false">
      <c r="C238" s="569" t="n">
        <v>1</v>
      </c>
      <c r="D238" s="552" t="str">
        <f aca="false">HLOOKUP($C$1,$E$1:$X$4910,ROW(D238))</f>
        <v>low</v>
      </c>
      <c r="E238" s="549" t="s">
        <v>165</v>
      </c>
      <c r="F238" s="549" t="s">
        <v>1079</v>
      </c>
      <c r="G238" s="556" t="s">
        <v>1080</v>
      </c>
      <c r="H238" s="549" t="s">
        <v>1671</v>
      </c>
      <c r="I238" s="549" t="str">
        <f aca="false">"[fr]"&amp;E238</f>
        <v>[fr]niedrig</v>
      </c>
      <c r="J238" s="549" t="str">
        <f aca="false">"[pt]"&amp;E238</f>
        <v>[pt]niedrig</v>
      </c>
      <c r="K238" s="549" t="str">
        <f aca="false">"[gr]"&amp;E238</f>
        <v>[gr]niedrig</v>
      </c>
    </row>
    <row r="239" customFormat="false" ht="15.75" hidden="false" customHeight="true" outlineLevel="0" collapsed="false">
      <c r="C239" s="569" t="n">
        <v>0</v>
      </c>
      <c r="D239" s="552" t="str">
        <f aca="false">HLOOKUP($C$1,$E$1:$X$4910,ROW(D239))</f>
        <v>non applicable</v>
      </c>
      <c r="E239" s="549" t="s">
        <v>164</v>
      </c>
      <c r="F239" s="549" t="s">
        <v>1672</v>
      </c>
      <c r="G239" s="556" t="s">
        <v>1673</v>
      </c>
      <c r="H239" s="549" t="s">
        <v>1674</v>
      </c>
      <c r="I239" s="549" t="str">
        <f aca="false">"[fr]"&amp;E239</f>
        <v>[fr]trifft nicht zu</v>
      </c>
      <c r="J239" s="549" t="str">
        <f aca="false">"[pt]"&amp;E239</f>
        <v>[pt]trifft nicht zu</v>
      </c>
      <c r="K239" s="549" t="str">
        <f aca="false">"[gr]"&amp;E239</f>
        <v>[gr]trifft nicht zu</v>
      </c>
    </row>
    <row r="240" customFormat="false" ht="15.75" hidden="false" customHeight="true" outlineLevel="0" collapsed="false">
      <c r="D240" s="552" t="str">
        <f aca="false">HLOOKUP($C$1,$E$1:$X$4910,ROW(D240))</f>
        <v>Weighting changed. Original</v>
      </c>
      <c r="E240" s="549" t="s">
        <v>1675</v>
      </c>
      <c r="F240" s="549" t="s">
        <v>1676</v>
      </c>
      <c r="G240" s="556" t="s">
        <v>1677</v>
      </c>
      <c r="H240" s="549" t="s">
        <v>1678</v>
      </c>
      <c r="I240" s="549" t="str">
        <f aca="false">"[fr]"&amp;E240</f>
        <v>[fr]Gewichtung geändert. Ursprünglich</v>
      </c>
      <c r="J240" s="549" t="str">
        <f aca="false">"[pt]"&amp;E240</f>
        <v>[pt]Gewichtung geändert. Ursprünglich</v>
      </c>
      <c r="K240" s="549" t="str">
        <f aca="false">"[gr]"&amp;E240</f>
        <v>[gr]Gewichtung geändert. Ursprünglich</v>
      </c>
    </row>
    <row r="241" customFormat="false" ht="15.75" hidden="false" customHeight="true" outlineLevel="0" collapsed="false">
      <c r="D241" s="552" t="str">
        <f aca="false">HLOOKUP($C$1,$E$1:$X$4910,ROW(D241))</f>
        <v>Values star for</v>
      </c>
      <c r="E241" s="549" t="s">
        <v>1679</v>
      </c>
      <c r="F241" s="549" t="s">
        <v>1680</v>
      </c>
      <c r="G241" s="549" t="s">
        <v>1681</v>
      </c>
      <c r="H241" s="549" t="s">
        <v>1682</v>
      </c>
      <c r="I241" s="549" t="str">
        <f aca="false">"[fr]"&amp;E241</f>
        <v>[fr]Werte-Stern für</v>
      </c>
      <c r="J241" s="549" t="str">
        <f aca="false">"[pt]"&amp;E241</f>
        <v>[pt]Werte-Stern für</v>
      </c>
      <c r="K241" s="549" t="str">
        <f aca="false">"[gr]"&amp;E241</f>
        <v>[gr]Werte-Stern für</v>
      </c>
    </row>
    <row r="242" customFormat="false" ht="15.75" hidden="false" customHeight="true" outlineLevel="0" collapsed="false">
      <c r="D242" s="552" t="str">
        <f aca="false">HLOOKUP($C$1,$E$1:$X$4910,ROW(D242))</f>
        <v>Group star for</v>
      </c>
      <c r="E242" s="549" t="s">
        <v>1683</v>
      </c>
      <c r="F242" s="549" t="s">
        <v>1684</v>
      </c>
      <c r="G242" s="549" t="s">
        <v>1685</v>
      </c>
      <c r="H242" s="549" t="s">
        <v>1686</v>
      </c>
      <c r="I242" s="549" t="str">
        <f aca="false">"[fr]"&amp;E242</f>
        <v>[fr]Gruppen-Stern für</v>
      </c>
      <c r="J242" s="549" t="str">
        <f aca="false">"[pt]"&amp;E242</f>
        <v>[pt]Gruppen-Stern für</v>
      </c>
      <c r="K242" s="549" t="str">
        <f aca="false">"[gr]"&amp;E242</f>
        <v>[gr]Gruppen-Stern für</v>
      </c>
    </row>
    <row r="243" customFormat="false" ht="15.75" hidden="false" customHeight="true" outlineLevel="0" collapsed="false">
      <c r="D243" s="552" t="str">
        <f aca="false">HLOOKUP($C$1,$E$1:$X$4910,ROW(D243))</f>
        <v>Theme star for</v>
      </c>
      <c r="E243" s="549" t="s">
        <v>1687</v>
      </c>
      <c r="F243" s="549" t="s">
        <v>1688</v>
      </c>
      <c r="G243" s="549" t="s">
        <v>1689</v>
      </c>
      <c r="H243" s="549" t="s">
        <v>1690</v>
      </c>
      <c r="I243" s="549" t="str">
        <f aca="false">"[fr]"&amp;E243</f>
        <v>[fr]Themen-Stern für</v>
      </c>
      <c r="J243" s="549" t="str">
        <f aca="false">"[pt]"&amp;E243</f>
        <v>[pt]Themen-Stern für</v>
      </c>
      <c r="K243" s="549" t="str">
        <f aca="false">"[gr]"&amp;E243</f>
        <v>[gr]Themen-Stern für</v>
      </c>
    </row>
    <row r="244" customFormat="false" ht="357.6" hidden="false" customHeight="true" outlineLevel="0" collapsed="false">
      <c r="B244" s="600" t="str">
        <f aca="false">D208</f>
        <v>General</v>
      </c>
      <c r="D244" s="552"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E244" s="601" t="s">
        <v>1691</v>
      </c>
      <c r="F244" s="549" t="s">
        <v>1692</v>
      </c>
      <c r="G244" s="556" t="s">
        <v>1693</v>
      </c>
      <c r="H244" s="549" t="s">
        <v>1694</v>
      </c>
      <c r="I244" s="549"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49"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49"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0" t="s">
        <v>1560</v>
      </c>
      <c r="D245" s="552"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1" t="s">
        <v>1695</v>
      </c>
      <c r="F245" s="549" t="s">
        <v>1696</v>
      </c>
      <c r="G245" s="556" t="s">
        <v>1697</v>
      </c>
      <c r="H245" s="549" t="s">
        <v>1698</v>
      </c>
      <c r="I245" s="549"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J245" s="549"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K245" s="549"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row>
    <row r="246" customFormat="false" ht="161.25" hidden="false" customHeight="true" outlineLevel="0" collapsed="false">
      <c r="B246" s="602" t="s">
        <v>1552</v>
      </c>
      <c r="D246" s="552"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03" t="s">
        <v>1699</v>
      </c>
      <c r="F246" s="549" t="s">
        <v>1700</v>
      </c>
      <c r="G246" s="556" t="s">
        <v>1701</v>
      </c>
      <c r="H246" s="549" t="s">
        <v>1702</v>
      </c>
      <c r="I246" s="549"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49"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49"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04" t="s">
        <v>29</v>
      </c>
      <c r="D247" s="552" t="str">
        <f aca="false">HLOOKUP($C$1,$E$1:$X$4910,ROW(D247))</f>
        <v>The weighting of this theme is dependent on the social risks of the supplier's sector.</v>
      </c>
      <c r="E247" s="605" t="s">
        <v>1703</v>
      </c>
      <c r="F247" s="549" t="s">
        <v>1704</v>
      </c>
      <c r="G247" s="556" t="s">
        <v>1705</v>
      </c>
      <c r="H247" s="549" t="s">
        <v>1706</v>
      </c>
      <c r="I247" s="549" t="str">
        <f aca="false">"[fr]"&amp;E247</f>
        <v>[fr]Die Gewichtung dieses Thema’s ist abhängig von den sozialen Risiken der Zulieferbranchen</v>
      </c>
      <c r="J247" s="549" t="str">
        <f aca="false">"[pt]"&amp;E247</f>
        <v>[pt]Die Gewichtung dieses Thema’s ist abhängig von den sozialen Risiken der Zulieferbranchen</v>
      </c>
      <c r="K247" s="549" t="str">
        <f aca="false">"[gr]"&amp;E247</f>
        <v>[gr]Die Gewichtung dieses Thema’s ist abhängig von den sozialen Risiken der Zulieferbranchen</v>
      </c>
    </row>
    <row r="248" customFormat="false" ht="15.75" hidden="false" customHeight="true" outlineLevel="0" collapsed="false">
      <c r="B248" s="606" t="s">
        <v>32</v>
      </c>
      <c r="D248" s="552" t="str">
        <f aca="false">HLOOKUP($C$1,$E$1:$X$4910,ROW(D248))</f>
        <v>-</v>
      </c>
      <c r="E248" s="607" t="s">
        <v>170</v>
      </c>
      <c r="F248" s="608" t="s">
        <v>170</v>
      </c>
      <c r="G248" s="608" t="s">
        <v>170</v>
      </c>
      <c r="H248" s="549" t="s">
        <v>170</v>
      </c>
      <c r="I248" s="549" t="str">
        <f aca="false">"[fr]"&amp;E248</f>
        <v>[fr]-</v>
      </c>
      <c r="J248" s="549" t="str">
        <f aca="false">"[pt]"&amp;E248</f>
        <v>[pt]-</v>
      </c>
      <c r="K248" s="549" t="str">
        <f aca="false">"[gr]"&amp;E248</f>
        <v>[gr]-</v>
      </c>
    </row>
    <row r="249" customFormat="false" ht="54.75" hidden="false" customHeight="true" outlineLevel="0" collapsed="false">
      <c r="B249" s="609" t="s">
        <v>36</v>
      </c>
      <c r="D249" s="552" t="str">
        <f aca="false">HLOOKUP($C$1,$E$1:$X$4910,ROW(D249))</f>
        <v>The weighting of this theme is dependent on the environmental effect of the supplier's sector (see sheet “Industry").</v>
      </c>
      <c r="E249" s="607" t="s">
        <v>1707</v>
      </c>
      <c r="F249" s="549" t="s">
        <v>1708</v>
      </c>
      <c r="G249" s="556" t="s">
        <v>1709</v>
      </c>
      <c r="H249" s="549" t="s">
        <v>1710</v>
      </c>
      <c r="I249" s="549" t="str">
        <f aca="false">"[fr]"&amp;E249</f>
        <v>[fr]Die Gewichtung dieses Thema’s ist abhängig vom ökologischen Effekt der Branche des Lieferanten (siehe Tabellenblatt “Industry”)</v>
      </c>
      <c r="J249" s="549" t="str">
        <f aca="false">"[pt]"&amp;E249</f>
        <v>[pt]Die Gewichtung dieses Thema’s ist abhängig vom ökologischen Effekt der Branche des Lieferanten (siehe Tabellenblatt “Industry”)</v>
      </c>
      <c r="K249" s="549" t="str">
        <f aca="false">"[gr]"&amp;E249</f>
        <v>[gr]Die Gewichtung dieses Thema’s ist abhängig vom ökologischen Effekt der Branche des Lieferanten (siehe Tabellenblatt “Industry”)</v>
      </c>
    </row>
    <row r="250" customFormat="false" ht="68.25" hidden="false" customHeight="true" outlineLevel="0" collapsed="false">
      <c r="B250" s="609" t="s">
        <v>39</v>
      </c>
      <c r="D250" s="552" t="str">
        <f aca="false">HLOOKUP($C$1,$E$1:$X$4910,ROW(D250))</f>
        <v>The weighting of this theme is dependent on co-determination rights in the countries of the most important supply industries (based on the ILUC index of the International Labour Union).</v>
      </c>
      <c r="E250" s="610" t="s">
        <v>1711</v>
      </c>
      <c r="F250" s="549" t="s">
        <v>1712</v>
      </c>
      <c r="G250" s="556" t="s">
        <v>1713</v>
      </c>
      <c r="H250" s="549" t="s">
        <v>1714</v>
      </c>
      <c r="I250" s="549" t="str">
        <f aca="false">"[fr]"&amp;E250</f>
        <v>[fr]Die Gewichtung dieses Thema’s ist abhängig von den Mitbestimmungsrechte in den Ländern der wichtigsten Zulieferbranchen (basierend auf dem ITUC-Index der International Trade Union Confederation)</v>
      </c>
      <c r="J250" s="549" t="str">
        <f aca="false">"[pt]"&amp;E250</f>
        <v>[pt]Die Gewichtung dieses Thema’s ist abhängig von den Mitbestimmungsrechte in den Ländern der wichtigsten Zulieferbranchen (basierend auf dem ITUC-Index der International Trade Union Confederation)</v>
      </c>
      <c r="K250" s="549"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09" t="s">
        <v>43</v>
      </c>
      <c r="D251" s="552" t="str">
        <f aca="false">HLOOKUP($C$1,$E$1:$X$4910,ROW(D251))</f>
        <v>The weighting of this theme depends on the ratio turnover to the balance sheet total.</v>
      </c>
      <c r="E251" s="607" t="s">
        <v>1715</v>
      </c>
      <c r="F251" s="549" t="s">
        <v>1716</v>
      </c>
      <c r="G251" s="556" t="s">
        <v>1717</v>
      </c>
      <c r="H251" s="549" t="s">
        <v>1718</v>
      </c>
      <c r="I251" s="549" t="str">
        <f aca="false">"[fr]"&amp;E251</f>
        <v>[fr]Die Gewichtung dieses Thema’s ist abhängig von der Relation Umsatz zu Bilanzsumme</v>
      </c>
      <c r="J251" s="549" t="str">
        <f aca="false">"[pt]"&amp;E251</f>
        <v>[pt]Die Gewichtung dieses Thema’s ist abhängig von der Relation Umsatz zu Bilanzsumme</v>
      </c>
      <c r="K251" s="549" t="str">
        <f aca="false">"[gr]"&amp;E251</f>
        <v>[gr]Die Gewichtung dieses Thema’s ist abhängig von der Relation Umsatz zu Bilanzsumme</v>
      </c>
    </row>
    <row r="252" customFormat="false" ht="42.75" hidden="false" customHeight="true" outlineLevel="0" collapsed="false">
      <c r="B252" s="609" t="s">
        <v>47</v>
      </c>
      <c r="D252" s="552" t="str">
        <f aca="false">HLOOKUP($C$1,$E$1:$X$4910,ROW(D252))</f>
        <v>The weighting of this theme depends on the ratio profit to turnover</v>
      </c>
      <c r="E252" s="607" t="s">
        <v>1719</v>
      </c>
      <c r="F252" s="549" t="s">
        <v>1720</v>
      </c>
      <c r="G252" s="556" t="s">
        <v>1721</v>
      </c>
      <c r="H252" s="549" t="s">
        <v>1722</v>
      </c>
      <c r="I252" s="549" t="str">
        <f aca="false">"[fr]"&amp;E252</f>
        <v>[fr]Die Gewichtung dieses Thema’s ist abhängig von der Relation Gewinn zu Umsatz</v>
      </c>
      <c r="J252" s="549" t="str">
        <f aca="false">"[pt]"&amp;E252</f>
        <v>[pt]Die Gewichtung dieses Thema’s ist abhängig von der Relation Gewinn zu Umsatz</v>
      </c>
      <c r="K252" s="549" t="str">
        <f aca="false">"[gr]"&amp;E252</f>
        <v>[gr]Die Gewichtung dieses Thema’s ist abhängig von der Relation Gewinn zu Umsatz</v>
      </c>
    </row>
    <row r="253" customFormat="false" ht="51" hidden="false" customHeight="true" outlineLevel="0" collapsed="false">
      <c r="B253" s="609" t="s">
        <v>50</v>
      </c>
      <c r="D253" s="552" t="str">
        <f aca="false">HLOOKUP($C$1,$E$1:$X$4910,ROW(D253))</f>
        <v>The weighting of this theme is dependent on additions to fixed-assets and financial assets in relation to the balance sheet total.</v>
      </c>
      <c r="E253" s="607" t="s">
        <v>1723</v>
      </c>
      <c r="F253" s="549" t="s">
        <v>1724</v>
      </c>
      <c r="G253" s="556" t="s">
        <v>1725</v>
      </c>
      <c r="H253" s="549" t="s">
        <v>1726</v>
      </c>
      <c r="I253" s="549" t="str">
        <f aca="false">"[fr]"&amp;E253</f>
        <v>[fr]Die Gewichtung dieses Thema’s ist abhängig  Zugängen zum Anlagevermögen und Finanzvermögen in Relation zu der Bilanzsumme</v>
      </c>
      <c r="J253" s="549" t="str">
        <f aca="false">"[pt]"&amp;E253</f>
        <v>[pt]Die Gewichtung dieses Thema’s ist abhängig  Zugängen zum Anlagevermögen und Finanzvermögen in Relation zu der Bilanzsumme</v>
      </c>
      <c r="K253" s="549" t="str">
        <f aca="false">"[gr]"&amp;E253</f>
        <v>[gr]Die Gewichtung dieses Thema’s ist abhängig  Zugängen zum Anlagevermögen und Finanzvermögen in Relation zu der Bilanzsumme</v>
      </c>
    </row>
    <row r="254" customFormat="false" ht="28.5" hidden="false" customHeight="true" outlineLevel="0" collapsed="false">
      <c r="B254" s="609" t="s">
        <v>54</v>
      </c>
      <c r="D254" s="552" t="str">
        <f aca="false">HLOOKUP($C$1,$E$1:$X$4910,ROW(D254))</f>
        <v>The weighting of this theme is dependent on the size of the company.</v>
      </c>
      <c r="E254" s="607" t="s">
        <v>1727</v>
      </c>
      <c r="F254" s="549" t="s">
        <v>1728</v>
      </c>
      <c r="G254" s="556" t="s">
        <v>1729</v>
      </c>
      <c r="H254" s="549" t="s">
        <v>1730</v>
      </c>
      <c r="I254" s="549" t="str">
        <f aca="false">"[fr]"&amp;E254</f>
        <v>[fr]Die Gewichtung dieses Thema’s ist abhängig von der Größe des Unternehmens</v>
      </c>
      <c r="J254" s="549" t="str">
        <f aca="false">"[pt]"&amp;E254</f>
        <v>[pt]Die Gewichtung dieses Thema’s ist abhängig von der Größe des Unternehmens</v>
      </c>
      <c r="K254" s="549" t="str">
        <f aca="false">"[gr]"&amp;E254</f>
        <v>[gr]Die Gewichtung dieses Thema’s ist abhängig von der Größe des Unternehmens</v>
      </c>
    </row>
    <row r="255" customFormat="false" ht="15.75" hidden="false" customHeight="true" outlineLevel="0" collapsed="false">
      <c r="B255" s="609" t="s">
        <v>58</v>
      </c>
      <c r="D255" s="552" t="str">
        <f aca="false">HLOOKUP($C$1,$E$1:$X$4910,ROW(D255))</f>
        <v>-</v>
      </c>
      <c r="E255" s="611" t="s">
        <v>170</v>
      </c>
      <c r="F255" s="612" t="s">
        <v>170</v>
      </c>
      <c r="G255" s="612" t="s">
        <v>170</v>
      </c>
      <c r="H255" s="549" t="s">
        <v>170</v>
      </c>
      <c r="I255" s="549" t="str">
        <f aca="false">"[fr]"&amp;E255</f>
        <v>[fr]-</v>
      </c>
      <c r="J255" s="549" t="str">
        <f aca="false">"[pt]"&amp;E255</f>
        <v>[pt]-</v>
      </c>
      <c r="K255" s="549" t="str">
        <f aca="false">"[gr]"&amp;E255</f>
        <v>[gr]-</v>
      </c>
    </row>
    <row r="256" customFormat="false" ht="15.75" hidden="false" customHeight="true" outlineLevel="0" collapsed="false">
      <c r="B256" s="609" t="s">
        <v>63</v>
      </c>
      <c r="D256" s="552" t="str">
        <f aca="false">HLOOKUP($C$1,$E$1:$X$4910,ROW(D256))</f>
        <v>-</v>
      </c>
      <c r="E256" s="607" t="s">
        <v>170</v>
      </c>
      <c r="F256" s="608" t="s">
        <v>170</v>
      </c>
      <c r="G256" s="608" t="s">
        <v>170</v>
      </c>
      <c r="H256" s="549" t="s">
        <v>170</v>
      </c>
      <c r="I256" s="549" t="str">
        <f aca="false">"[fr]"&amp;E256</f>
        <v>[fr]-</v>
      </c>
      <c r="J256" s="549" t="str">
        <f aca="false">"[pt]"&amp;E256</f>
        <v>[pt]-</v>
      </c>
      <c r="K256" s="549" t="str">
        <f aca="false">"[gr]"&amp;E256</f>
        <v>[gr]-</v>
      </c>
    </row>
    <row r="257" customFormat="false" ht="54.75" hidden="false" customHeight="true" outlineLevel="0" collapsed="false">
      <c r="B257" s="609" t="s">
        <v>68</v>
      </c>
      <c r="D257" s="552" t="str">
        <f aca="false">HLOOKUP($C$1,$E$1:$X$4910,ROW(D257))</f>
        <v>The weighting of this theme is dependent on the existence of a canteen for most of the employees as well as an (estimated) average commute to work.</v>
      </c>
      <c r="E257" s="607" t="s">
        <v>1731</v>
      </c>
      <c r="F257" s="549" t="s">
        <v>1732</v>
      </c>
      <c r="G257" s="556" t="s">
        <v>1733</v>
      </c>
      <c r="H257" s="549" t="s">
        <v>1734</v>
      </c>
      <c r="I257" s="549" t="str">
        <f aca="false">"[fr]"&amp;E257</f>
        <v>[fr]Die Gewichtung dieses Thema’s ist abhängig von der Existenz einer Kantine für die Mehrheit der Mitarbeiter*innen sowie dem (geschätzten) durchschnittlichen Anfahrtsweg zur Arbeit.</v>
      </c>
      <c r="J257" s="549" t="str">
        <f aca="false">"[pt]"&amp;E257</f>
        <v>[pt]Die Gewichtung dieses Thema’s ist abhängig von der Existenz einer Kantine für die Mehrheit der Mitarbeiter*innen sowie dem (geschätzten) durchschnittlichen Anfahrtsweg zur Arbeit.</v>
      </c>
      <c r="K257" s="549"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09" t="s">
        <v>73</v>
      </c>
      <c r="D258" s="552" t="str">
        <f aca="false">HLOOKUP($C$1,$E$1:$X$4910,ROW(D258))</f>
        <v>The weighting of this theme is dependent on company size and co-determination rights in the countries of the most important supply industries (based on the ILUC index of the International Labour Union).</v>
      </c>
      <c r="E258" s="610" t="s">
        <v>1735</v>
      </c>
      <c r="F258" s="549" t="s">
        <v>1736</v>
      </c>
      <c r="G258" s="556" t="s">
        <v>1737</v>
      </c>
      <c r="H258" s="549" t="s">
        <v>1738</v>
      </c>
      <c r="I258" s="549" t="str">
        <f aca="false">"[fr]"&amp;E258</f>
        <v>[fr]Die Gewichtung dieses Thema’s ist abhängig von der Größe des Unternehmens sowie von den Mitbestimmungsrechte in den Ländern der wichtigsten Standorte (basierend auf dem ITUC-Index der International Labour Union)</v>
      </c>
      <c r="J258" s="549" t="str">
        <f aca="false">"[pt]"&amp;E258</f>
        <v>[pt]Die Gewichtung dieses Thema’s ist abhängig von der Größe des Unternehmens sowie von den Mitbestimmungsrechte in den Ländern der wichtigsten Standorte (basierend auf dem ITUC-Index der International Labour Union)</v>
      </c>
      <c r="K258" s="549"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09" t="s">
        <v>79</v>
      </c>
      <c r="D259" s="552" t="str">
        <f aca="false">HLOOKUP($C$1,$E$1:$X$4910,ROW(D259))</f>
        <v>-</v>
      </c>
      <c r="E259" s="607" t="s">
        <v>170</v>
      </c>
      <c r="F259" s="607" t="s">
        <v>170</v>
      </c>
      <c r="G259" s="607" t="s">
        <v>170</v>
      </c>
      <c r="H259" s="549" t="s">
        <v>170</v>
      </c>
      <c r="I259" s="549" t="str">
        <f aca="false">"[fr]"&amp;E259</f>
        <v>[fr]-</v>
      </c>
      <c r="J259" s="549" t="str">
        <f aca="false">"[pt]"&amp;E259</f>
        <v>[pt]-</v>
      </c>
      <c r="K259" s="549" t="str">
        <f aca="false">"[gr]"&amp;E259</f>
        <v>[gr]-</v>
      </c>
    </row>
    <row r="260" customFormat="false" ht="15.75" hidden="false" customHeight="true" outlineLevel="0" collapsed="false">
      <c r="B260" s="609" t="s">
        <v>83</v>
      </c>
      <c r="D260" s="552" t="str">
        <f aca="false">HLOOKUP($C$1,$E$1:$X$4910,ROW(D260))</f>
        <v>-</v>
      </c>
      <c r="E260" s="607" t="s">
        <v>170</v>
      </c>
      <c r="F260" s="608" t="s">
        <v>170</v>
      </c>
      <c r="G260" s="608" t="s">
        <v>170</v>
      </c>
      <c r="H260" s="549" t="s">
        <v>170</v>
      </c>
      <c r="I260" s="549" t="str">
        <f aca="false">"[fr]"&amp;E260</f>
        <v>[fr]-</v>
      </c>
      <c r="J260" s="549" t="str">
        <f aca="false">"[pt]"&amp;E260</f>
        <v>[pt]-</v>
      </c>
      <c r="K260" s="549" t="str">
        <f aca="false">"[gr]"&amp;E260</f>
        <v>[gr]-</v>
      </c>
    </row>
    <row r="261" customFormat="false" ht="28.5" hidden="false" customHeight="true" outlineLevel="0" collapsed="false">
      <c r="B261" s="609" t="s">
        <v>87</v>
      </c>
      <c r="D261" s="552" t="str">
        <f aca="false">HLOOKUP($C$1,$E$1:$X$4910,ROW(D261))</f>
        <v>The weighting of this theme depends on the industry sector.</v>
      </c>
      <c r="E261" s="607" t="s">
        <v>1739</v>
      </c>
      <c r="F261" s="549" t="s">
        <v>1740</v>
      </c>
      <c r="G261" s="556" t="s">
        <v>1741</v>
      </c>
      <c r="H261" s="549" t="s">
        <v>1742</v>
      </c>
      <c r="I261" s="549" t="str">
        <f aca="false">"[fr]"&amp;E261</f>
        <v>[fr]Die Gewichtung dieses Thema’s ist abhängig von der Branche</v>
      </c>
      <c r="J261" s="549" t="str">
        <f aca="false">"[pt]"&amp;E261</f>
        <v>[pt]Die Gewichtung dieses Thema’s ist abhängig von der Branche</v>
      </c>
      <c r="K261" s="549" t="str">
        <f aca="false">"[gr]"&amp;E261</f>
        <v>[gr]Die Gewichtung dieses Thema’s ist abhängig von der Branche</v>
      </c>
    </row>
    <row r="262" customFormat="false" ht="41.85" hidden="false" customHeight="true" outlineLevel="0" collapsed="false">
      <c r="B262" s="609" t="s">
        <v>91</v>
      </c>
      <c r="D262" s="552" t="str">
        <f aca="false">HLOOKUP($C$1,$E$1:$X$4910,ROW(D262))</f>
        <v>The weighting of this theme depends on whether customers are primarily individuals or companies.</v>
      </c>
      <c r="E262" s="607" t="s">
        <v>1743</v>
      </c>
      <c r="F262" s="549" t="s">
        <v>1744</v>
      </c>
      <c r="G262" s="556" t="s">
        <v>1745</v>
      </c>
      <c r="H262" s="549" t="s">
        <v>1746</v>
      </c>
      <c r="I262" s="549" t="str">
        <f aca="false">"[fr]"&amp;E262</f>
        <v>[fr]Die Gewichtung dieses Thema’s ist abhängig davon, ob Kund*innen in erster Linie Private oder Unternehmen sind</v>
      </c>
      <c r="J262" s="549" t="str">
        <f aca="false">"[pt]"&amp;E262</f>
        <v>[pt]Die Gewichtung dieses Thema’s ist abhängig davon, ob Kund*innen in erster Linie Private oder Unternehmen sind</v>
      </c>
      <c r="K262" s="549" t="str">
        <f aca="false">"[gr]"&amp;E262</f>
        <v>[gr]Die Gewichtung dieses Thema’s ist abhängig davon, ob Kund*innen in erster Linie Private oder Unternehmen sind</v>
      </c>
    </row>
    <row r="263" customFormat="false" ht="15.75" hidden="false" customHeight="true" outlineLevel="0" collapsed="false">
      <c r="B263" s="609" t="s">
        <v>95</v>
      </c>
      <c r="D263" s="552" t="str">
        <f aca="false">HLOOKUP($C$1,$E$1:$X$4910,ROW(D263))</f>
        <v>-</v>
      </c>
      <c r="E263" s="607" t="s">
        <v>170</v>
      </c>
      <c r="F263" s="608" t="s">
        <v>170</v>
      </c>
      <c r="G263" s="608" t="s">
        <v>170</v>
      </c>
      <c r="H263" s="549" t="s">
        <v>170</v>
      </c>
      <c r="I263" s="549" t="str">
        <f aca="false">"[fr]"&amp;E263</f>
        <v>[fr]-</v>
      </c>
      <c r="J263" s="549" t="str">
        <f aca="false">"[pt]"&amp;E263</f>
        <v>[pt]-</v>
      </c>
      <c r="K263" s="549" t="str">
        <f aca="false">"[gr]"&amp;E263</f>
        <v>[gr]-</v>
      </c>
    </row>
    <row r="264" customFormat="false" ht="41.85" hidden="false" customHeight="true" outlineLevel="0" collapsed="false">
      <c r="B264" s="609" t="s">
        <v>99</v>
      </c>
      <c r="D264" s="552" t="str">
        <f aca="false">HLOOKUP($C$1,$E$1:$X$4910,ROW(D264))</f>
        <v>The weighting of this theme is dependent on the return on sales (profit/turnover).</v>
      </c>
      <c r="E264" s="607" t="s">
        <v>1747</v>
      </c>
      <c r="F264" s="549" t="s">
        <v>1748</v>
      </c>
      <c r="G264" s="556" t="s">
        <v>1749</v>
      </c>
      <c r="H264" s="549" t="s">
        <v>1750</v>
      </c>
      <c r="I264" s="549" t="str">
        <f aca="false">"[fr]"&amp;E264</f>
        <v>[fr]Die Gewichtung dieses Thema’s ist abhängig von der Umsatzrentabilität (Gewinn/Umsatz)</v>
      </c>
      <c r="J264" s="549" t="str">
        <f aca="false">"[pt]"&amp;E264</f>
        <v>[pt]Die Gewichtung dieses Thema’s ist abhängig von der Umsatzrentabilität (Gewinn/Umsatz)</v>
      </c>
      <c r="K264" s="549" t="str">
        <f aca="false">"[gr]"&amp;E264</f>
        <v>[gr]Die Gewichtung dieses Thema’s ist abhängig von der Umsatzrentabilität (Gewinn/Umsatz)</v>
      </c>
    </row>
    <row r="265" customFormat="false" ht="28.5" hidden="false" customHeight="true" outlineLevel="0" collapsed="false">
      <c r="B265" s="609" t="s">
        <v>104</v>
      </c>
      <c r="D265" s="552" t="str">
        <f aca="false">HLOOKUP($C$1,$E$1:$X$4910,ROW(D265))</f>
        <v>The weighting of this theme depends on the industry sector.</v>
      </c>
      <c r="E265" s="607" t="s">
        <v>1751</v>
      </c>
      <c r="F265" s="549" t="s">
        <v>1740</v>
      </c>
      <c r="G265" s="556" t="s">
        <v>1741</v>
      </c>
      <c r="H265" s="549" t="s">
        <v>1742</v>
      </c>
      <c r="I265" s="549" t="str">
        <f aca="false">"[fr]"&amp;E265</f>
        <v>[fr]Die Gewichtung dieses Thenma’s ist abhängig von der Branche</v>
      </c>
      <c r="J265" s="549" t="str">
        <f aca="false">"[pt]"&amp;E265</f>
        <v>[pt]Die Gewichtung dieses Thenma’s ist abhängig von der Branche</v>
      </c>
      <c r="K265" s="549" t="str">
        <f aca="false">"[gr]"&amp;E265</f>
        <v>[gr]Die Gewichtung dieses Thenma’s ist abhängig von der Branche</v>
      </c>
    </row>
    <row r="266" customFormat="false" ht="41.85" hidden="false" customHeight="true" outlineLevel="0" collapsed="false">
      <c r="B266" s="613" t="s">
        <v>108</v>
      </c>
      <c r="D266" s="552" t="str">
        <f aca="false">HLOOKUP($C$1,$E$1:$X$4910,ROW(D266))</f>
        <v>The weighting of this theme depends on the company size and the industry sector.</v>
      </c>
      <c r="E266" s="614" t="s">
        <v>1752</v>
      </c>
      <c r="F266" s="549" t="s">
        <v>1753</v>
      </c>
      <c r="G266" s="556" t="s">
        <v>1754</v>
      </c>
      <c r="H266" s="549" t="s">
        <v>1755</v>
      </c>
      <c r="I266" s="549" t="str">
        <f aca="false">"[fr]"&amp;E266</f>
        <v>[fr]Die Gewichtung dieses Thema’s ist abhängig von der Größe sowie der Branche des Unternehmens.</v>
      </c>
      <c r="J266" s="549" t="str">
        <f aca="false">"[pt]"&amp;E266</f>
        <v>[pt]Die Gewichtung dieses Thema’s ist abhängig von der Größe sowie der Branche des Unternehmens.</v>
      </c>
      <c r="K266" s="549" t="str">
        <f aca="false">"[gr]"&amp;E266</f>
        <v>[gr]Die Gewichtung dieses Thema’s ist abhängig von der Größe sowie der Branche des Unternehmens.</v>
      </c>
    </row>
    <row r="267" customFormat="false" ht="15.75" hidden="false" customHeight="true" outlineLevel="0" collapsed="false">
      <c r="D267" s="552" t="n">
        <f aca="false">HLOOKUP($C$1,$E$1:$X$4910,ROW(D267))</f>
        <v>0</v>
      </c>
      <c r="E267" s="549"/>
      <c r="G267" s="549"/>
      <c r="H267" s="549"/>
      <c r="I267" s="549" t="str">
        <f aca="false">"[fr]"&amp;E267</f>
        <v>[fr]</v>
      </c>
      <c r="J267" s="549" t="str">
        <f aca="false">"[pt]"&amp;E267</f>
        <v>[pt]</v>
      </c>
      <c r="K267" s="549" t="str">
        <f aca="false">"[gr]"&amp;E267</f>
        <v>[gr]</v>
      </c>
    </row>
    <row r="268" customFormat="false" ht="28.5" hidden="false" customHeight="true" outlineLevel="0" collapsed="false">
      <c r="D268" s="552" t="str">
        <f aca="false">HLOOKUP($C$1,$E$1:$X$4910,ROW(D268))</f>
        <v>A - agriculture, forestry management, fishing industry</v>
      </c>
      <c r="E268" s="549" t="s">
        <v>1756</v>
      </c>
      <c r="F268" s="549" t="s">
        <v>1757</v>
      </c>
      <c r="G268" s="556" t="s">
        <v>1758</v>
      </c>
      <c r="H268" s="549" t="s">
        <v>1759</v>
      </c>
      <c r="I268" s="549" t="str">
        <f aca="false">"[fr]"&amp;E268</f>
        <v>[fr]A - Landwirtschaft, Forstwirtschaft und Fischerei</v>
      </c>
      <c r="J268" s="549" t="str">
        <f aca="false">"[pt]"&amp;E268</f>
        <v>[pt]A - Landwirtschaft, Forstwirtschaft und Fischerei</v>
      </c>
      <c r="K268" s="549" t="str">
        <f aca="false">"[gr]"&amp;E268</f>
        <v>[gr]A - Landwirtschaft, Forstwirtschaft und Fischerei</v>
      </c>
    </row>
    <row r="269" customFormat="false" ht="28.5" hidden="false" customHeight="true" outlineLevel="0" collapsed="false">
      <c r="D269" s="552" t="str">
        <f aca="false">HLOOKUP($C$1,$E$1:$X$4910,ROW(D269))</f>
        <v>B - Mining and quarrying</v>
      </c>
      <c r="E269" s="549" t="s">
        <v>1760</v>
      </c>
      <c r="F269" s="549" t="s">
        <v>1761</v>
      </c>
      <c r="G269" s="556" t="s">
        <v>1762</v>
      </c>
      <c r="H269" s="549" t="s">
        <v>1763</v>
      </c>
      <c r="I269" s="549" t="str">
        <f aca="false">"[fr]"&amp;E269</f>
        <v>[fr]B - Bergbau und Gewinnung von Steinen und Erden</v>
      </c>
      <c r="J269" s="549" t="str">
        <f aca="false">"[pt]"&amp;E269</f>
        <v>[pt]B - Bergbau und Gewinnung von Steinen und Erden</v>
      </c>
      <c r="K269" s="549" t="str">
        <f aca="false">"[gr]"&amp;E269</f>
        <v>[gr]B - Bergbau und Gewinnung von Steinen und Erden</v>
      </c>
    </row>
    <row r="270" customFormat="false" ht="28.5" hidden="false" customHeight="true" outlineLevel="0" collapsed="false">
      <c r="D270" s="552" t="str">
        <f aca="false">HLOOKUP($C$1,$E$1:$X$4910,ROW(D270))</f>
        <v>C - Manufacturing industries (not further specified)</v>
      </c>
      <c r="E270" s="549" t="s">
        <v>1764</v>
      </c>
      <c r="F270" s="549" t="s">
        <v>1765</v>
      </c>
      <c r="G270" s="556" t="s">
        <v>1766</v>
      </c>
      <c r="H270" s="549" t="s">
        <v>1767</v>
      </c>
      <c r="I270" s="549" t="str">
        <f aca="false">"[fr]"&amp;E270</f>
        <v>[fr]C - Verarbeitendes Gewerbe (nicht weiter spezifiziert)</v>
      </c>
      <c r="J270" s="549" t="str">
        <f aca="false">"[pt]"&amp;E270</f>
        <v>[pt]C - Verarbeitendes Gewerbe (nicht weiter spezifiziert)</v>
      </c>
      <c r="K270" s="549" t="str">
        <f aca="false">"[gr]"&amp;E270</f>
        <v>[gr]C - Verarbeitendes Gewerbe (nicht weiter spezifiziert)</v>
      </c>
    </row>
    <row r="271" customFormat="false" ht="28.5" hidden="false" customHeight="true" outlineLevel="0" collapsed="false">
      <c r="D271" s="552" t="str">
        <f aca="false">HLOOKUP($C$1,$E$1:$X$4910,ROW(D271))</f>
        <v>Ca - Food production, drinks and tobacco (C10, C11, C12)</v>
      </c>
      <c r="E271" s="549" t="s">
        <v>1768</v>
      </c>
      <c r="F271" s="549" t="s">
        <v>1769</v>
      </c>
      <c r="G271" s="556" t="s">
        <v>1770</v>
      </c>
      <c r="H271" s="549" t="s">
        <v>1771</v>
      </c>
      <c r="I271" s="549" t="str">
        <f aca="false">"[fr]"&amp;E271</f>
        <v>[fr]Ca - Produktion von Lebensmittel, Getränken und Tabak (C10,C11,C12)</v>
      </c>
      <c r="J271" s="549" t="str">
        <f aca="false">"[pt]"&amp;E271</f>
        <v>[pt]Ca - Produktion von Lebensmittel, Getränken und Tabak (C10,C11,C12)</v>
      </c>
      <c r="K271" s="549" t="str">
        <f aca="false">"[gr]"&amp;E271</f>
        <v>[gr]Ca - Produktion von Lebensmittel, Getränken und Tabak (C10,C11,C12)</v>
      </c>
    </row>
    <row r="272" customFormat="false" ht="28.5" hidden="false" customHeight="true" outlineLevel="0" collapsed="false">
      <c r="D272" s="552" t="str">
        <f aca="false">HLOOKUP($C$1,$E$1:$X$4910,ROW(D272))</f>
        <v>Cb - Textile production, clothing, leather and leather products (C13, C14, C15)</v>
      </c>
      <c r="E272" s="549" t="s">
        <v>1772</v>
      </c>
      <c r="F272" s="549" t="s">
        <v>1773</v>
      </c>
      <c r="G272" s="556" t="s">
        <v>23</v>
      </c>
      <c r="H272" s="549" t="s">
        <v>1774</v>
      </c>
      <c r="I272" s="549" t="str">
        <f aca="false">"[fr]"&amp;E272</f>
        <v>[fr]Cb - Produktion von Textilien, Kleidung, Leder und Produkten hieraus (C13,C14,C15)</v>
      </c>
      <c r="J272" s="549" t="str">
        <f aca="false">"[pt]"&amp;E272</f>
        <v>[pt]Cb - Produktion von Textilien, Kleidung, Leder und Produkten hieraus (C13,C14,C15)</v>
      </c>
      <c r="K272" s="549" t="str">
        <f aca="false">"[gr]"&amp;E272</f>
        <v>[gr]Cb - Produktion von Textilien, Kleidung, Leder und Produkten hieraus (C13,C14,C15)</v>
      </c>
    </row>
    <row r="273" customFormat="false" ht="41.85" hidden="false" customHeight="true" outlineLevel="0" collapsed="false">
      <c r="D273" s="552" t="str">
        <f aca="false">HLOOKUP($C$1,$E$1:$X$4910,ROW(D273))</f>
        <v>Cc - Paper and forest products, also printed matter (C16, C17, C18)</v>
      </c>
      <c r="E273" s="549" t="s">
        <v>1775</v>
      </c>
      <c r="F273" s="549" t="s">
        <v>1776</v>
      </c>
      <c r="G273" s="556" t="s">
        <v>16</v>
      </c>
      <c r="H273" s="549" t="s">
        <v>1777</v>
      </c>
      <c r="I273" s="549" t="str">
        <f aca="false">"[fr]"&amp;E273</f>
        <v>[fr]Cc - Produktion von Holz- und Papierprodukten sowie Drucksorten (C16,C17,C18)</v>
      </c>
      <c r="J273" s="549" t="str">
        <f aca="false">"[pt]"&amp;E273</f>
        <v>[pt]Cc - Produktion von Holz- und Papierprodukten sowie Drucksorten (C16,C17,C18)</v>
      </c>
      <c r="K273" s="549" t="str">
        <f aca="false">"[gr]"&amp;E273</f>
        <v>[gr]Cc - Produktion von Holz- und Papierprodukten sowie Drucksorten (C16,C17,C18)</v>
      </c>
    </row>
    <row r="274" customFormat="false" ht="41.85" hidden="false" customHeight="true" outlineLevel="0" collapsed="false">
      <c r="D274" s="552" t="str">
        <f aca="false">HLOOKUP($C$1,$E$1:$X$4910,ROW(D274))</f>
        <v>Cd - Production of petrochemical products and plastics (C19, C20;C22)</v>
      </c>
      <c r="E274" s="549" t="s">
        <v>1778</v>
      </c>
      <c r="F274" s="549" t="s">
        <v>1779</v>
      </c>
      <c r="G274" s="556" t="s">
        <v>1780</v>
      </c>
      <c r="H274" s="549" t="s">
        <v>1781</v>
      </c>
      <c r="I274" s="549" t="str">
        <f aca="false">"[fr]"&amp;E274</f>
        <v>[fr]Cd - Produktion von petrochemischen Produkte und Kunststoffen (C19, C20;C22)</v>
      </c>
      <c r="J274" s="549" t="str">
        <f aca="false">"[pt]"&amp;E274</f>
        <v>[pt]Cd - Produktion von petrochemischen Produkte und Kunststoffen (C19, C20;C22)</v>
      </c>
      <c r="K274" s="549" t="str">
        <f aca="false">"[gr]"&amp;E274</f>
        <v>[gr]Cd - Produktion von petrochemischen Produkte und Kunststoffen (C19, C20;C22)</v>
      </c>
    </row>
    <row r="275" customFormat="false" ht="28.5" hidden="false" customHeight="true" outlineLevel="0" collapsed="false">
      <c r="D275" s="552" t="str">
        <f aca="false">HLOOKUP($C$1,$E$1:$X$4910,ROW(D275))</f>
        <v>Ce - Pharmaceutical products and preparations (C21)</v>
      </c>
      <c r="E275" s="549" t="s">
        <v>1782</v>
      </c>
      <c r="F275" s="549" t="s">
        <v>1783</v>
      </c>
      <c r="G275" s="556" t="s">
        <v>1784</v>
      </c>
      <c r="H275" s="549" t="s">
        <v>1785</v>
      </c>
      <c r="I275" s="549" t="str">
        <f aca="false">"[fr]"&amp;E275</f>
        <v>[fr]Ce - Produktion von pharmazeutischen Produktion und Präparaten (C21)</v>
      </c>
      <c r="J275" s="549" t="str">
        <f aca="false">"[pt]"&amp;E275</f>
        <v>[pt]Ce - Produktion von pharmazeutischen Produktion und Präparaten (C21)</v>
      </c>
      <c r="K275" s="549" t="str">
        <f aca="false">"[gr]"&amp;E275</f>
        <v>[gr]Ce - Produktion von pharmazeutischen Produktion und Präparaten (C21)</v>
      </c>
    </row>
    <row r="276" customFormat="false" ht="28.5" hidden="false" customHeight="true" outlineLevel="0" collapsed="false">
      <c r="D276" s="552" t="str">
        <f aca="false">HLOOKUP($C$1,$E$1:$X$4910,ROW(D276))</f>
        <v>Cf - Production of non-metallic minerals (C23)</v>
      </c>
      <c r="E276" s="549" t="s">
        <v>1786</v>
      </c>
      <c r="F276" s="549" t="s">
        <v>1787</v>
      </c>
      <c r="G276" s="556" t="s">
        <v>1788</v>
      </c>
      <c r="H276" s="549" t="s">
        <v>1789</v>
      </c>
      <c r="I276" s="549" t="str">
        <f aca="false">"[fr]"&amp;E276</f>
        <v>[fr]Cf - Produktion nicht metallischer Mineralstoffe (C23)</v>
      </c>
      <c r="J276" s="549" t="str">
        <f aca="false">"[pt]"&amp;E276</f>
        <v>[pt]Cf - Produktion nicht metallischer Mineralstoffe (C23)</v>
      </c>
      <c r="K276" s="549" t="str">
        <f aca="false">"[gr]"&amp;E276</f>
        <v>[gr]Cf - Produktion nicht metallischer Mineralstoffe (C23)</v>
      </c>
    </row>
    <row r="277" customFormat="false" ht="54.75" hidden="false" customHeight="true" outlineLevel="0" collapsed="false">
      <c r="D277" s="552" t="str">
        <f aca="false">HLOOKUP($C$1,$E$1:$X$4910,ROW(D277))</f>
        <v>Cg - Production of metal and metallic products (excl. machines and equipment) (C24, C25)</v>
      </c>
      <c r="E277" s="549" t="s">
        <v>1790</v>
      </c>
      <c r="F277" s="549" t="s">
        <v>1791</v>
      </c>
      <c r="G277" s="556" t="s">
        <v>1792</v>
      </c>
      <c r="H277" s="549" t="s">
        <v>1793</v>
      </c>
      <c r="I277" s="549" t="str">
        <f aca="false">"[fr]"&amp;E277</f>
        <v>[fr]Cg - Produktion von Metallen und metallischen Produkten (exkl. Maschinen und Geräten) (C24,C25)</v>
      </c>
      <c r="J277" s="549" t="str">
        <f aca="false">"[pt]"&amp;E277</f>
        <v>[pt]Cg - Produktion von Metallen und metallischen Produkten (exkl. Maschinen und Geräten) (C24,C25)</v>
      </c>
      <c r="K277" s="549" t="str">
        <f aca="false">"[gr]"&amp;E277</f>
        <v>[gr]Cg - Produktion von Metallen und metallischen Produkten (exkl. Maschinen und Geräten) (C24,C25)</v>
      </c>
    </row>
    <row r="278" customFormat="false" ht="54.75" hidden="false" customHeight="true" outlineLevel="0" collapsed="false">
      <c r="D278" s="552" t="str">
        <f aca="false">HLOOKUP($C$1,$E$1:$X$4910,ROW(D278))</f>
        <v>Ch - Production of electronic equipment, instruments and components as well as computers (C26, C27, C28)</v>
      </c>
      <c r="E278" s="549" t="s">
        <v>1794</v>
      </c>
      <c r="F278" s="549" t="s">
        <v>1795</v>
      </c>
      <c r="G278" s="556" t="s">
        <v>1796</v>
      </c>
      <c r="H278" s="549" t="s">
        <v>1797</v>
      </c>
      <c r="I278" s="549" t="str">
        <f aca="false">"[fr]"&amp;E278</f>
        <v>[fr]Ch - Produktion von elektronischen, optischen und sonstigen Geräten und Bauteilen sowie Computer (C26,C27,C28)</v>
      </c>
      <c r="J278" s="549" t="str">
        <f aca="false">"[pt]"&amp;E278</f>
        <v>[pt]Ch - Produktion von elektronischen, optischen und sonstigen Geräten und Bauteilen sowie Computer (C26,C27,C28)</v>
      </c>
      <c r="K278" s="549" t="str">
        <f aca="false">"[gr]"&amp;E278</f>
        <v>[gr]Ch - Produktion von elektronischen, optischen und sonstigen Geräten und Bauteilen sowie Computer (C26,C27,C28)</v>
      </c>
    </row>
    <row r="279" customFormat="false" ht="28.5" hidden="false" customHeight="true" outlineLevel="0" collapsed="false">
      <c r="D279" s="552" t="str">
        <f aca="false">HLOOKUP($C$1,$E$1:$X$4910,ROW(D279))</f>
        <v>D - Electric, Gas, Steam and Refrigeration</v>
      </c>
      <c r="E279" s="549" t="s">
        <v>1798</v>
      </c>
      <c r="F279" s="549" t="s">
        <v>1799</v>
      </c>
      <c r="G279" s="556" t="s">
        <v>18</v>
      </c>
      <c r="H279" s="549" t="s">
        <v>1800</v>
      </c>
      <c r="I279" s="549" t="str">
        <f aca="false">"[fr]"&amp;E279</f>
        <v>[fr]D - Strom-, Gas-, Dampfversorgung und Kühlung</v>
      </c>
      <c r="J279" s="549" t="str">
        <f aca="false">"[pt]"&amp;E279</f>
        <v>[pt]D - Strom-, Gas-, Dampfversorgung und Kühlung</v>
      </c>
      <c r="K279" s="549" t="str">
        <f aca="false">"[gr]"&amp;E279</f>
        <v>[gr]D - Strom-, Gas-, Dampfversorgung und Kühlung</v>
      </c>
    </row>
    <row r="280" customFormat="false" ht="28.5" hidden="false" customHeight="true" outlineLevel="0" collapsed="false">
      <c r="D280" s="552" t="str">
        <f aca="false">HLOOKUP($C$1,$E$1:$X$4910,ROW(D280))</f>
        <v>E - Water supply, waste management</v>
      </c>
      <c r="E280" s="549" t="s">
        <v>1801</v>
      </c>
      <c r="F280" s="549" t="s">
        <v>1802</v>
      </c>
      <c r="G280" s="556" t="s">
        <v>1803</v>
      </c>
      <c r="H280" s="549" t="s">
        <v>1804</v>
      </c>
      <c r="I280" s="549" t="str">
        <f aca="false">"[fr]"&amp;E280</f>
        <v>[fr]E - Wasserversorgung, Abfallwirtschaft</v>
      </c>
      <c r="J280" s="549" t="str">
        <f aca="false">"[pt]"&amp;E280</f>
        <v>[pt]E - Wasserversorgung, Abfallwirtschaft</v>
      </c>
      <c r="K280" s="549" t="str">
        <f aca="false">"[gr]"&amp;E280</f>
        <v>[gr]E - Wasserversorgung, Abfallwirtschaft</v>
      </c>
    </row>
    <row r="281" customFormat="false" ht="15.75" hidden="false" customHeight="true" outlineLevel="0" collapsed="false">
      <c r="D281" s="552" t="str">
        <f aca="false">HLOOKUP($C$1,$E$1:$X$4910,ROW(D281))</f>
        <v>F - Construction industry</v>
      </c>
      <c r="E281" s="549" t="s">
        <v>1805</v>
      </c>
      <c r="F281" s="549" t="s">
        <v>1806</v>
      </c>
      <c r="G281" s="556" t="s">
        <v>1807</v>
      </c>
      <c r="H281" s="549" t="s">
        <v>1808</v>
      </c>
      <c r="I281" s="549" t="str">
        <f aca="false">"[fr]"&amp;E281</f>
        <v>[fr]F - Baugewerbe</v>
      </c>
      <c r="J281" s="549" t="str">
        <f aca="false">"[pt]"&amp;E281</f>
        <v>[pt]F - Baugewerbe</v>
      </c>
      <c r="K281" s="549" t="str">
        <f aca="false">"[gr]"&amp;E281</f>
        <v>[gr]F - Baugewerbe</v>
      </c>
    </row>
    <row r="282" customFormat="false" ht="41.85" hidden="false" customHeight="true" outlineLevel="0" collapsed="false">
      <c r="D282" s="552" t="str">
        <f aca="false">HLOOKUP($C$1,$E$1:$X$4910,ROW(D282))</f>
        <v>G - Wholesale and retail</v>
      </c>
      <c r="E282" s="555" t="s">
        <v>1809</v>
      </c>
      <c r="F282" s="549" t="s">
        <v>1810</v>
      </c>
      <c r="G282" s="556" t="s">
        <v>1811</v>
      </c>
      <c r="H282" s="549" t="s">
        <v>1812</v>
      </c>
      <c r="I282" s="549" t="str">
        <f aca="false">"[fr]"&amp;E282</f>
        <v>[fr]G - Groß- und Einzelhandel sowie Werkstätten für Kraftfahrzeuge (Anmerkung: Groß- und Einzelhandel nicht auf KFZ beschränkt)</v>
      </c>
      <c r="J282" s="549" t="str">
        <f aca="false">"[pt]"&amp;E282</f>
        <v>[pt]G - Groß- und Einzelhandel sowie Werkstätten für Kraftfahrzeuge (Anmerkung: Groß- und Einzelhandel nicht auf KFZ beschränkt)</v>
      </c>
      <c r="K282" s="549" t="str">
        <f aca="false">"[gr]"&amp;E282</f>
        <v>[gr]G - Groß- und Einzelhandel sowie Werkstätten für Kraftfahrzeuge (Anmerkung: Groß- und Einzelhandel nicht auf KFZ beschränkt)</v>
      </c>
    </row>
    <row r="283" customFormat="false" ht="15.75" hidden="false" customHeight="true" outlineLevel="0" collapsed="false">
      <c r="D283" s="552" t="str">
        <f aca="false">HLOOKUP($C$1,$E$1:$X$4910,ROW(D283))</f>
        <v>H - Transport and warehousing</v>
      </c>
      <c r="E283" s="549" t="s">
        <v>1813</v>
      </c>
      <c r="F283" s="549" t="s">
        <v>1814</v>
      </c>
      <c r="G283" s="556" t="s">
        <v>1815</v>
      </c>
      <c r="H283" s="549" t="s">
        <v>1816</v>
      </c>
      <c r="I283" s="549" t="str">
        <f aca="false">"[fr]"&amp;E283</f>
        <v>[fr]H - Verkehr und Lagerhaltung</v>
      </c>
      <c r="J283" s="549" t="str">
        <f aca="false">"[pt]"&amp;E283</f>
        <v>[pt]H - Verkehr und Lagerhaltung</v>
      </c>
      <c r="K283" s="549" t="str">
        <f aca="false">"[gr]"&amp;E283</f>
        <v>[gr]H - Verkehr und Lagerhaltung</v>
      </c>
    </row>
    <row r="284" customFormat="false" ht="15.75" hidden="false" customHeight="true" outlineLevel="0" collapsed="false">
      <c r="D284" s="552" t="str">
        <f aca="false">HLOOKUP($C$1,$E$1:$X$4910,ROW(D284))</f>
        <v>I - Accommodation and catering</v>
      </c>
      <c r="E284" s="549" t="s">
        <v>1817</v>
      </c>
      <c r="F284" s="549" t="s">
        <v>1818</v>
      </c>
      <c r="G284" s="556" t="s">
        <v>1819</v>
      </c>
      <c r="H284" s="549" t="s">
        <v>1820</v>
      </c>
      <c r="I284" s="549" t="str">
        <f aca="false">"[fr]"&amp;E284</f>
        <v>[fr]I - Beherbergung und Gastronomie</v>
      </c>
      <c r="J284" s="549" t="str">
        <f aca="false">"[pt]"&amp;E284</f>
        <v>[pt]I - Beherbergung und Gastronomie</v>
      </c>
      <c r="K284" s="549" t="str">
        <f aca="false">"[gr]"&amp;E284</f>
        <v>[gr]I - Beherbergung und Gastronomie</v>
      </c>
    </row>
    <row r="285" customFormat="false" ht="15.75" hidden="false" customHeight="true" outlineLevel="0" collapsed="false">
      <c r="D285" s="552" t="str">
        <f aca="false">HLOOKUP($C$1,$E$1:$X$4910,ROW(D285))</f>
        <v>J - Information and Communication</v>
      </c>
      <c r="E285" s="549" t="s">
        <v>1821</v>
      </c>
      <c r="F285" s="549" t="s">
        <v>1822</v>
      </c>
      <c r="G285" s="556" t="s">
        <v>1823</v>
      </c>
      <c r="H285" s="549" t="s">
        <v>1824</v>
      </c>
      <c r="I285" s="549" t="str">
        <f aca="false">"[fr]"&amp;E285</f>
        <v>[fr]J - Information und Kommunikation</v>
      </c>
      <c r="J285" s="549" t="str">
        <f aca="false">"[pt]"&amp;E285</f>
        <v>[pt]J - Information und Kommunikation</v>
      </c>
      <c r="K285" s="549" t="str">
        <f aca="false">"[gr]"&amp;E285</f>
        <v>[gr]J - Information und Kommunikation</v>
      </c>
    </row>
    <row r="286" customFormat="false" ht="15.75" hidden="false" customHeight="true" outlineLevel="0" collapsed="false">
      <c r="D286" s="552" t="str">
        <f aca="false">HLOOKUP($C$1,$E$1:$X$4910,ROW(D286))</f>
        <v>K - Financial services</v>
      </c>
      <c r="E286" s="549" t="s">
        <v>1825</v>
      </c>
      <c r="F286" s="549" t="s">
        <v>1826</v>
      </c>
      <c r="G286" s="556" t="s">
        <v>1827</v>
      </c>
      <c r="H286" s="549" t="s">
        <v>1828</v>
      </c>
      <c r="I286" s="549" t="str">
        <f aca="false">"[fr]"&amp;E286</f>
        <v>[fr]K - Kredit- und Finanzwesen</v>
      </c>
      <c r="J286" s="549" t="str">
        <f aca="false">"[pt]"&amp;E286</f>
        <v>[pt]K - Kredit- und Finanzwesen</v>
      </c>
      <c r="K286" s="549" t="str">
        <f aca="false">"[gr]"&amp;E286</f>
        <v>[gr]K - Kredit- und Finanzwesen</v>
      </c>
    </row>
    <row r="287" customFormat="false" ht="15.75" hidden="false" customHeight="true" outlineLevel="0" collapsed="false">
      <c r="D287" s="552" t="str">
        <f aca="false">HLOOKUP($C$1,$E$1:$X$4910,ROW(D287))</f>
        <v>L - Real estate</v>
      </c>
      <c r="E287" s="549" t="s">
        <v>1829</v>
      </c>
      <c r="F287" s="549" t="s">
        <v>1830</v>
      </c>
      <c r="G287" s="556" t="s">
        <v>1831</v>
      </c>
      <c r="H287" s="549" t="s">
        <v>1832</v>
      </c>
      <c r="I287" s="549" t="str">
        <f aca="false">"[fr]"&amp;E287</f>
        <v>[fr]L - (Immobilienwirtschaft</v>
      </c>
      <c r="J287" s="549" t="str">
        <f aca="false">"[pt]"&amp;E287</f>
        <v>[pt]L - (Immobilienwirtschaft</v>
      </c>
      <c r="K287" s="549" t="str">
        <f aca="false">"[gr]"&amp;E287</f>
        <v>[gr]L - (Immobilienwirtschaft</v>
      </c>
    </row>
    <row r="288" customFormat="false" ht="28.5" hidden="false" customHeight="true" outlineLevel="0" collapsed="false">
      <c r="D288" s="552" t="str">
        <f aca="false">HLOOKUP($C$1,$E$1:$X$4910,ROW(D288))</f>
        <v>M - Professional, technical and scientific services</v>
      </c>
      <c r="E288" s="549" t="s">
        <v>1833</v>
      </c>
      <c r="F288" s="549" t="s">
        <v>1834</v>
      </c>
      <c r="G288" s="556" t="s">
        <v>1835</v>
      </c>
      <c r="H288" s="549" t="s">
        <v>1836</v>
      </c>
      <c r="I288" s="549" t="str">
        <f aca="false">"[fr]"&amp;E288</f>
        <v>[fr]M - Freiberufliche, wissenschaftliche und technische Dienstleistungen</v>
      </c>
      <c r="J288" s="549" t="str">
        <f aca="false">"[pt]"&amp;E288</f>
        <v>[pt]M - Freiberufliche, wissenschaftliche und technische Dienstleistungen</v>
      </c>
      <c r="K288" s="549" t="str">
        <f aca="false">"[gr]"&amp;E288</f>
        <v>[gr]M - Freiberufliche, wissenschaftliche und technische Dienstleistungen</v>
      </c>
    </row>
    <row r="289" customFormat="false" ht="28.5" hidden="false" customHeight="true" outlineLevel="0" collapsed="false">
      <c r="D289" s="552" t="str">
        <f aca="false">HLOOKUP($C$1,$E$1:$X$4910,ROW(D289))</f>
        <v>N - Administrative and support services</v>
      </c>
      <c r="E289" s="549" t="s">
        <v>1837</v>
      </c>
      <c r="F289" s="549" t="s">
        <v>1838</v>
      </c>
      <c r="G289" s="556" t="s">
        <v>1839</v>
      </c>
      <c r="H289" s="549" t="s">
        <v>1840</v>
      </c>
      <c r="I289" s="549" t="str">
        <f aca="false">"[fr]"&amp;E289</f>
        <v>[fr]N - Administrative und unterstützende Dienstleistungen</v>
      </c>
      <c r="J289" s="549" t="str">
        <f aca="false">"[pt]"&amp;E289</f>
        <v>[pt]N - Administrative und unterstützende Dienstleistungen</v>
      </c>
      <c r="K289" s="549" t="str">
        <f aca="false">"[gr]"&amp;E289</f>
        <v>[gr]N - Administrative und unterstützende Dienstleistungen</v>
      </c>
    </row>
    <row r="290" customFormat="false" ht="28.5" hidden="false" customHeight="true" outlineLevel="0" collapsed="false">
      <c r="D290" s="552" t="str">
        <f aca="false">HLOOKUP($C$1,$E$1:$X$4910,ROW(D290))</f>
        <v>O - Public administration; defence; social security</v>
      </c>
      <c r="E290" s="549" t="s">
        <v>1841</v>
      </c>
      <c r="F290" s="549" t="s">
        <v>1842</v>
      </c>
      <c r="G290" s="556" t="s">
        <v>1843</v>
      </c>
      <c r="H290" s="549" t="s">
        <v>1844</v>
      </c>
      <c r="I290" s="549" t="str">
        <f aca="false">"[fr]"&amp;E290</f>
        <v>[fr]O - Öffentliche Verwaltung; Verteidigung; Sozialversicherungswesen</v>
      </c>
      <c r="J290" s="549" t="str">
        <f aca="false">"[pt]"&amp;E290</f>
        <v>[pt]O - Öffentliche Verwaltung; Verteidigung; Sozialversicherungswesen</v>
      </c>
      <c r="K290" s="549" t="str">
        <f aca="false">"[gr]"&amp;E290</f>
        <v>[gr]O - Öffentliche Verwaltung; Verteidigung; Sozialversicherungswesen</v>
      </c>
    </row>
    <row r="291" customFormat="false" ht="15.75" hidden="false" customHeight="true" outlineLevel="0" collapsed="false">
      <c r="D291" s="552" t="str">
        <f aca="false">HLOOKUP($C$1,$E$1:$X$4910,ROW(D291))</f>
        <v>P - Education</v>
      </c>
      <c r="E291" s="549" t="s">
        <v>1845</v>
      </c>
      <c r="F291" s="549" t="s">
        <v>1846</v>
      </c>
      <c r="G291" s="556" t="s">
        <v>1847</v>
      </c>
      <c r="H291" s="549" t="s">
        <v>1848</v>
      </c>
      <c r="I291" s="549" t="str">
        <f aca="false">"[fr]"&amp;E291</f>
        <v>[fr]P - Bildung</v>
      </c>
      <c r="J291" s="549" t="str">
        <f aca="false">"[pt]"&amp;E291</f>
        <v>[pt]P - Bildung</v>
      </c>
      <c r="K291" s="549" t="str">
        <f aca="false">"[gr]"&amp;E291</f>
        <v>[gr]P - Bildung</v>
      </c>
    </row>
    <row r="292" customFormat="false" ht="28.5" hidden="false" customHeight="true" outlineLevel="0" collapsed="false">
      <c r="D292" s="552" t="str">
        <f aca="false">HLOOKUP($C$1,$E$1:$X$4910,ROW(D292))</f>
        <v>Q - Health and social work</v>
      </c>
      <c r="E292" s="549" t="s">
        <v>1849</v>
      </c>
      <c r="F292" s="549" t="s">
        <v>1850</v>
      </c>
      <c r="G292" s="556" t="s">
        <v>1851</v>
      </c>
      <c r="H292" s="549" t="s">
        <v>1852</v>
      </c>
      <c r="I292" s="549" t="str">
        <f aca="false">"[fr]"&amp;E292</f>
        <v>[fr]Q - Gesundheit und Sozialarbeit</v>
      </c>
      <c r="J292" s="549" t="str">
        <f aca="false">"[pt]"&amp;E292</f>
        <v>[pt]Q - Gesundheit und Sozialarbeit</v>
      </c>
      <c r="K292" s="549" t="str">
        <f aca="false">"[gr]"&amp;E292</f>
        <v>[gr]Q - Gesundheit und Sozialarbeit</v>
      </c>
    </row>
    <row r="293" customFormat="false" ht="28.5" hidden="false" customHeight="true" outlineLevel="0" collapsed="false">
      <c r="D293" s="552" t="str">
        <f aca="false">HLOOKUP($C$1,$E$1:$X$4910,ROW(D293))</f>
        <v>R - Art, education and leisure</v>
      </c>
      <c r="E293" s="549" t="s">
        <v>1853</v>
      </c>
      <c r="F293" s="549" t="s">
        <v>1854</v>
      </c>
      <c r="G293" s="556" t="s">
        <v>1855</v>
      </c>
      <c r="H293" s="549" t="s">
        <v>1856</v>
      </c>
      <c r="I293" s="549" t="str">
        <f aca="false">"[fr]"&amp;E293</f>
        <v>[fr]R - Kunst, Unterhaltung und Erholung</v>
      </c>
      <c r="J293" s="549" t="str">
        <f aca="false">"[pt]"&amp;E293</f>
        <v>[pt]R - Kunst, Unterhaltung und Erholung</v>
      </c>
      <c r="K293" s="549" t="str">
        <f aca="false">"[gr]"&amp;E293</f>
        <v>[gr]R - Kunst, Unterhaltung und Erholung</v>
      </c>
    </row>
    <row r="294" customFormat="false" ht="15.75" hidden="false" customHeight="true" outlineLevel="0" collapsed="false">
      <c r="D294" s="552" t="str">
        <f aca="false">HLOOKUP($C$1,$E$1:$X$4910,ROW(D294))</f>
        <v>S - Other services</v>
      </c>
      <c r="E294" s="549" t="s">
        <v>1857</v>
      </c>
      <c r="F294" s="549" t="s">
        <v>1858</v>
      </c>
      <c r="G294" s="556" t="s">
        <v>1859</v>
      </c>
      <c r="H294" s="549" t="s">
        <v>1860</v>
      </c>
      <c r="I294" s="549" t="str">
        <f aca="false">"[fr]"&amp;E294</f>
        <v>[fr]S - Andere Dienstleistungen</v>
      </c>
      <c r="J294" s="549" t="str">
        <f aca="false">"[pt]"&amp;E294</f>
        <v>[pt]S - Andere Dienstleistungen</v>
      </c>
      <c r="K294" s="549" t="str">
        <f aca="false">"[gr]"&amp;E294</f>
        <v>[gr]S - Andere Dienstleistungen</v>
      </c>
    </row>
    <row r="295" customFormat="false" ht="54.75" hidden="false" customHeight="true" outlineLevel="0" collapsed="false">
      <c r="D295" s="552" t="str">
        <f aca="false">HLOOKUP($C$1,$E$1:$X$4910,ROW(D295))</f>
        <v>Please enter</v>
      </c>
      <c r="E295" s="555" t="s">
        <v>1861</v>
      </c>
      <c r="F295" s="549" t="s">
        <v>1862</v>
      </c>
      <c r="G295" s="556" t="s">
        <v>1542</v>
      </c>
      <c r="H295" s="549" t="s">
        <v>1863</v>
      </c>
      <c r="I295" s="549" t="str">
        <f aca="false">"[fr]"&amp;E295</f>
        <v>[fr]T - Private Haushalte</v>
      </c>
      <c r="J295" s="549" t="str">
        <f aca="false">"[pt]"&amp;E295</f>
        <v>[pt]T - Private Haushalte</v>
      </c>
      <c r="K295" s="549" t="str">
        <f aca="false">"[gr]"&amp;E295</f>
        <v>[gr]T - Private Haushalte</v>
      </c>
    </row>
    <row r="296" customFormat="false" ht="28.5" hidden="false" customHeight="true" outlineLevel="0" collapsed="false">
      <c r="D296" s="552" t="str">
        <f aca="false">HLOOKUP($C$1,$E$1:$X$4910,ROW(D296))</f>
        <v>U - Extraterritorial organisations and bodies</v>
      </c>
      <c r="E296" s="549" t="s">
        <v>1864</v>
      </c>
      <c r="F296" s="549" t="s">
        <v>1865</v>
      </c>
      <c r="G296" s="556" t="s">
        <v>1866</v>
      </c>
      <c r="H296" s="549" t="s">
        <v>1867</v>
      </c>
      <c r="I296" s="549" t="str">
        <f aca="false">"[fr]"&amp;E296</f>
        <v>[fr]U - Exterritoriale Organisationen und Körperschaften</v>
      </c>
      <c r="J296" s="549" t="str">
        <f aca="false">"[pt]"&amp;E296</f>
        <v>[pt]U - Exterritoriale Organisationen und Körperschaften</v>
      </c>
      <c r="K296" s="549" t="str">
        <f aca="false">"[gr]"&amp;E296</f>
        <v>[gr]U - Exterritoriale Organisationen und Körperschaften</v>
      </c>
    </row>
    <row r="297" customFormat="false" ht="15.75" hidden="false" customHeight="true" outlineLevel="0" collapsed="false">
      <c r="D297" s="552" t="str">
        <f aca="false">HLOOKUP($C$1,$E$1:$X$4910,ROW(D297))</f>
        <v>Total purchases from suppliers (in Euros):</v>
      </c>
      <c r="E297" s="549" t="s">
        <v>1868</v>
      </c>
      <c r="F297" s="549" t="s">
        <v>1869</v>
      </c>
      <c r="G297" s="556" t="s">
        <v>1870</v>
      </c>
      <c r="H297" s="549" t="s">
        <v>1871</v>
      </c>
      <c r="I297" s="549" t="str">
        <f aca="false">"[fr]"&amp;E297</f>
        <v>[fr]Gesamt-Ausgaben an Lieferanten (in Euro):</v>
      </c>
      <c r="J297" s="549" t="str">
        <f aca="false">"[pt]"&amp;E297</f>
        <v>[pt]Gesamt-Ausgaben an Lieferanten (in Euro):</v>
      </c>
      <c r="K297" s="549" t="str">
        <f aca="false">"[gr]"&amp;E297</f>
        <v>[gr]Gesamt-Ausgaben an Lieferanten (in Euro):</v>
      </c>
    </row>
    <row r="298" customFormat="false" ht="41.85" hidden="false" customHeight="true" outlineLevel="0" collapsed="false">
      <c r="D298" s="552" t="str">
        <f aca="false">HLOOKUP($C$1,$E$1:$X$4910,ROW(D298))</f>
        <v>Enter the 5 most important industry sectors whose products or services you use.</v>
      </c>
      <c r="E298" s="549" t="s">
        <v>1872</v>
      </c>
      <c r="F298" s="549" t="s">
        <v>1873</v>
      </c>
      <c r="G298" s="556" t="s">
        <v>1874</v>
      </c>
      <c r="H298" s="549" t="s">
        <v>1875</v>
      </c>
      <c r="I298" s="549" t="str">
        <f aca="false">"[fr]"&amp;E298</f>
        <v>[fr]Tragen Sie nachstehend, bitte die 5 wichtigstenBranchen ein, aus denen Sie Produkte/Dienstleistungen beziehen.</v>
      </c>
      <c r="J298" s="549" t="str">
        <f aca="false">"[pt]"&amp;E298</f>
        <v>[pt]Tragen Sie nachstehend, bitte die 5 wichtigstenBranchen ein, aus denen Sie Produkte/Dienstleistungen beziehen.</v>
      </c>
      <c r="K298" s="549" t="str">
        <f aca="false">"[gr]"&amp;E298</f>
        <v>[gr]Tragen Sie nachstehend, bitte die 5 wichtigstenBranchen ein, aus denen Sie Produkte/Dienstleistungen beziehen.</v>
      </c>
    </row>
    <row r="299" customFormat="false" ht="15.75" hidden="false" customHeight="true" outlineLevel="0" collapsed="false">
      <c r="D299" s="552" t="str">
        <f aca="false">HLOOKUP($C$1,$E$1:$X$4910,ROW(D299))</f>
        <v>Industry sector</v>
      </c>
      <c r="E299" s="549" t="s">
        <v>1876</v>
      </c>
      <c r="F299" s="549" t="s">
        <v>1877</v>
      </c>
      <c r="G299" s="556" t="s">
        <v>1878</v>
      </c>
      <c r="H299" s="549" t="s">
        <v>1879</v>
      </c>
      <c r="I299" s="549" t="str">
        <f aca="false">"[fr]"&amp;E299</f>
        <v>[fr]Branche</v>
      </c>
      <c r="J299" s="549" t="str">
        <f aca="false">"[pt]"&amp;E299</f>
        <v>[pt]Branche</v>
      </c>
      <c r="K299" s="549" t="str">
        <f aca="false">"[gr]"&amp;E299</f>
        <v>[gr]Branche</v>
      </c>
    </row>
    <row r="300" customFormat="false" ht="15.75" hidden="false" customHeight="true" outlineLevel="0" collapsed="false">
      <c r="D300" s="552" t="str">
        <f aca="false">HLOOKUP($C$1,$E$1:$X$4910,ROW(D300))</f>
        <v>Description</v>
      </c>
      <c r="E300" s="549" t="s">
        <v>1880</v>
      </c>
      <c r="F300" s="549" t="s">
        <v>1086</v>
      </c>
      <c r="G300" s="556" t="s">
        <v>1881</v>
      </c>
      <c r="H300" s="549" t="s">
        <v>1882</v>
      </c>
      <c r="I300" s="549" t="str">
        <f aca="false">"[fr]"&amp;E300</f>
        <v>[fr]Beschreibung</v>
      </c>
      <c r="J300" s="549" t="str">
        <f aca="false">"[pt]"&amp;E300</f>
        <v>[pt]Beschreibung</v>
      </c>
      <c r="K300" s="549" t="str">
        <f aca="false">"[gr]"&amp;E300</f>
        <v>[gr]Beschreibung</v>
      </c>
    </row>
    <row r="301" customFormat="false" ht="15.75" hidden="false" customHeight="true" outlineLevel="0" collapsed="false">
      <c r="D301" s="552" t="str">
        <f aca="false">HLOOKUP($C$1,$E$1:$X$4910,ROW(D301))</f>
        <v>Region of origin</v>
      </c>
      <c r="E301" s="549" t="s">
        <v>1883</v>
      </c>
      <c r="F301" s="549" t="s">
        <v>1884</v>
      </c>
      <c r="G301" s="556" t="s">
        <v>1885</v>
      </c>
      <c r="H301" s="549" t="s">
        <v>1886</v>
      </c>
      <c r="I301" s="549" t="str">
        <f aca="false">"[fr]"&amp;E301</f>
        <v>[fr]regionale Herkunft</v>
      </c>
      <c r="J301" s="549" t="str">
        <f aca="false">"[pt]"&amp;E301</f>
        <v>[pt]regionale Herkunft</v>
      </c>
      <c r="K301" s="549" t="str">
        <f aca="false">"[gr]"&amp;E301</f>
        <v>[gr]regionale Herkunft</v>
      </c>
    </row>
    <row r="302" customFormat="false" ht="15.75" hidden="false" customHeight="true" outlineLevel="0" collapsed="false">
      <c r="D302" s="552" t="str">
        <f aca="false">HLOOKUP($C$1,$E$1:$X$4910,ROW(D302))</f>
        <v>Costs</v>
      </c>
      <c r="E302" s="549" t="s">
        <v>1887</v>
      </c>
      <c r="F302" s="549" t="s">
        <v>1888</v>
      </c>
      <c r="G302" s="556" t="s">
        <v>1889</v>
      </c>
      <c r="H302" s="549" t="s">
        <v>1890</v>
      </c>
      <c r="I302" s="549" t="str">
        <f aca="false">"[fr]"&amp;E302</f>
        <v>[fr]Ausgaben</v>
      </c>
      <c r="J302" s="549" t="str">
        <f aca="false">"[pt]"&amp;E302</f>
        <v>[pt]Ausgaben</v>
      </c>
      <c r="K302" s="549" t="str">
        <f aca="false">"[gr]"&amp;E302</f>
        <v>[gr]Ausgaben</v>
      </c>
    </row>
    <row r="303" customFormat="false" ht="28.5" hidden="false" customHeight="true" outlineLevel="0" collapsed="false">
      <c r="D303" s="552" t="str">
        <f aca="false">HLOOKUP($C$1,$E$1:$X$4910,ROW(D303))</f>
        <v>Main origin of the other suppliers</v>
      </c>
      <c r="E303" s="549" t="s">
        <v>1891</v>
      </c>
      <c r="F303" s="549" t="s">
        <v>1892</v>
      </c>
      <c r="G303" s="556" t="s">
        <v>1893</v>
      </c>
      <c r="H303" s="549" t="s">
        <v>1894</v>
      </c>
      <c r="I303" s="549" t="str">
        <f aca="false">"[fr]"&amp;E303</f>
        <v>[fr]Überwiegende Herkunft restlicher Lieferanten</v>
      </c>
      <c r="J303" s="549" t="str">
        <f aca="false">"[pt]"&amp;E303</f>
        <v>[pt]Überwiegende Herkunft restlicher Lieferanten</v>
      </c>
      <c r="K303" s="549" t="str">
        <f aca="false">"[gr]"&amp;E303</f>
        <v>[gr]Überwiegende Herkunft restlicher Lieferanten</v>
      </c>
    </row>
    <row r="304" customFormat="false" ht="15.75" hidden="false" customHeight="true" outlineLevel="0" collapsed="false">
      <c r="D304" s="552" t="str">
        <f aca="false">HLOOKUP($C$1,$E$1:$X$4910,ROW(D304))</f>
        <v>Profit</v>
      </c>
      <c r="E304" s="549" t="s">
        <v>1895</v>
      </c>
      <c r="F304" s="569" t="s">
        <v>1896</v>
      </c>
      <c r="G304" s="556" t="s">
        <v>1897</v>
      </c>
      <c r="H304" s="549" t="s">
        <v>1898</v>
      </c>
      <c r="I304" s="549" t="str">
        <f aca="false">"[fr]"&amp;E304</f>
        <v>[fr]Gewinn (EBIT):</v>
      </c>
      <c r="J304" s="549" t="str">
        <f aca="false">"[pt]"&amp;E304</f>
        <v>[pt]Gewinn (EBIT):</v>
      </c>
      <c r="K304" s="549" t="str">
        <f aca="false">"[gr]"&amp;E304</f>
        <v>[gr]Gewinn (EBIT):</v>
      </c>
    </row>
    <row r="305" customFormat="false" ht="15.75" hidden="false" customHeight="true" outlineLevel="0" collapsed="false">
      <c r="D305" s="552" t="str">
        <f aca="false">HLOOKUP($C$1,$E$1:$X$4910,ROW(D305))</f>
        <v>Financing costs</v>
      </c>
      <c r="E305" s="549" t="s">
        <v>1899</v>
      </c>
      <c r="F305" s="549" t="s">
        <v>1900</v>
      </c>
      <c r="G305" s="556" t="s">
        <v>1901</v>
      </c>
      <c r="H305" s="549" t="s">
        <v>1902</v>
      </c>
      <c r="I305" s="549" t="str">
        <f aca="false">"[fr]"&amp;E305</f>
        <v>[fr]Finanzierungskosten</v>
      </c>
      <c r="J305" s="549" t="str">
        <f aca="false">"[pt]"&amp;E305</f>
        <v>[pt]Finanzierungskosten</v>
      </c>
      <c r="K305" s="549" t="str">
        <f aca="false">"[gr]"&amp;E305</f>
        <v>[gr]Finanzierungskosten</v>
      </c>
    </row>
    <row r="306" customFormat="false" ht="15.75" hidden="false" customHeight="true" outlineLevel="0" collapsed="false">
      <c r="D306" s="552" t="str">
        <f aca="false">HLOOKUP($C$1,$E$1:$X$4910,ROW(D306))</f>
        <v>Income from financial investments</v>
      </c>
      <c r="E306" s="549" t="s">
        <v>1903</v>
      </c>
      <c r="F306" s="549" t="s">
        <v>1904</v>
      </c>
      <c r="G306" s="556" t="s">
        <v>1905</v>
      </c>
      <c r="H306" s="549" t="s">
        <v>1906</v>
      </c>
      <c r="I306" s="549" t="str">
        <f aca="false">"[fr]"&amp;E306</f>
        <v>[fr]Erträge aus Finanzanlagen</v>
      </c>
      <c r="J306" s="549" t="str">
        <f aca="false">"[pt]"&amp;E306</f>
        <v>[pt]Erträge aus Finanzanlagen</v>
      </c>
      <c r="K306" s="549" t="str">
        <f aca="false">"[gr]"&amp;E306</f>
        <v>[gr]Erträge aus Finanzanlagen</v>
      </c>
    </row>
    <row r="307" customFormat="false" ht="15.75" hidden="false" customHeight="true" outlineLevel="0" collapsed="false">
      <c r="D307" s="552" t="str">
        <f aca="false">HLOOKUP($C$1,$E$1:$X$4910,ROW(D307))</f>
        <v>Total assets</v>
      </c>
      <c r="E307" s="549" t="s">
        <v>1907</v>
      </c>
      <c r="F307" s="569" t="s">
        <v>1908</v>
      </c>
      <c r="G307" s="556" t="s">
        <v>1909</v>
      </c>
      <c r="H307" s="549" t="s">
        <v>1910</v>
      </c>
      <c r="I307" s="549" t="str">
        <f aca="false">"[fr]"&amp;E307</f>
        <v>[fr]Bilanzaktiva</v>
      </c>
      <c r="J307" s="549" t="str">
        <f aca="false">"[pt]"&amp;E307</f>
        <v>[pt]Bilanzaktiva</v>
      </c>
      <c r="K307" s="549" t="str">
        <f aca="false">"[gr]"&amp;E307</f>
        <v>[gr]Bilanzaktiva</v>
      </c>
    </row>
    <row r="308" customFormat="false" ht="15.75" hidden="false" customHeight="true" outlineLevel="0" collapsed="false">
      <c r="D308" s="552" t="str">
        <f aca="false">HLOOKUP($C$1,$E$1:$X$4910,ROW(D308))</f>
        <v>Additions to fixed-assets</v>
      </c>
      <c r="E308" s="549" t="s">
        <v>1911</v>
      </c>
      <c r="F308" s="569" t="s">
        <v>1912</v>
      </c>
      <c r="G308" s="556" t="s">
        <v>1913</v>
      </c>
      <c r="H308" s="549" t="s">
        <v>1914</v>
      </c>
      <c r="I308" s="549" t="str">
        <f aca="false">"[fr]"&amp;E308</f>
        <v>[fr]Zugänge zum Anlagevermögen</v>
      </c>
      <c r="J308" s="549" t="str">
        <f aca="false">"[pt]"&amp;E308</f>
        <v>[pt]Zugänge zum Anlagevermögen</v>
      </c>
      <c r="K308" s="549" t="str">
        <f aca="false">"[gr]"&amp;E308</f>
        <v>[gr]Zugänge zum Anlagevermögen</v>
      </c>
    </row>
    <row r="309" customFormat="false" ht="15.75" hidden="false" customHeight="true" outlineLevel="0" collapsed="false">
      <c r="D309" s="552" t="str">
        <f aca="false">HLOOKUP($C$1,$E$1:$X$4910,ROW(D309))</f>
        <v>Financial assets and cash balance</v>
      </c>
      <c r="E309" s="549" t="s">
        <v>1915</v>
      </c>
      <c r="F309" s="569" t="s">
        <v>1916</v>
      </c>
      <c r="G309" s="556" t="s">
        <v>1917</v>
      </c>
      <c r="H309" s="549" t="s">
        <v>1918</v>
      </c>
      <c r="I309" s="549" t="str">
        <f aca="false">"[fr]"&amp;E309</f>
        <v>[fr]Finanzanlagen und Barguthaben</v>
      </c>
      <c r="J309" s="549" t="str">
        <f aca="false">"[pt]"&amp;E309</f>
        <v>[pt]Finanzanlagen und Barguthaben</v>
      </c>
      <c r="K309" s="549" t="str">
        <f aca="false">"[gr]"&amp;E309</f>
        <v>[gr]Finanzanlagen und Barguthaben</v>
      </c>
    </row>
    <row r="310" customFormat="false" ht="28.5" hidden="false" customHeight="true" outlineLevel="0" collapsed="false">
      <c r="D310" s="552" t="str">
        <f aca="false">HLOOKUP($C$1,$E$1:$X$4910,ROW(D310))</f>
        <v>Number of employees (full time equivalents)</v>
      </c>
      <c r="E310" s="549" t="s">
        <v>1919</v>
      </c>
      <c r="F310" s="549" t="s">
        <v>1920</v>
      </c>
      <c r="G310" s="556" t="s">
        <v>1921</v>
      </c>
      <c r="H310" s="549" t="s">
        <v>1922</v>
      </c>
      <c r="I310" s="549" t="str">
        <f aca="false">"[fr]"&amp;E310</f>
        <v>[fr]Anzahl der Mitarbeitenden (in Vollzeitäquivalenten):</v>
      </c>
      <c r="J310" s="549" t="str">
        <f aca="false">"[pt]"&amp;E310</f>
        <v>[pt]Anzahl der Mitarbeitenden (in Vollzeitäquivalenten):</v>
      </c>
      <c r="K310" s="549" t="str">
        <f aca="false">"[gr]"&amp;E310</f>
        <v>[gr]Anzahl der Mitarbeitenden (in Vollzeitäquivalenten):</v>
      </c>
    </row>
    <row r="311" customFormat="false" ht="28.5" hidden="false" customHeight="true" outlineLevel="0" collapsed="false">
      <c r="D311" s="552" t="str">
        <f aca="false">HLOOKUP($C$1,$E$1:$X$4910,ROW(D311))</f>
        <v>Staff costs (gross without employer contribution)</v>
      </c>
      <c r="E311" s="549" t="s">
        <v>1923</v>
      </c>
      <c r="F311" s="549" t="s">
        <v>1924</v>
      </c>
      <c r="G311" s="556" t="s">
        <v>1925</v>
      </c>
      <c r="H311" s="549" t="s">
        <v>1926</v>
      </c>
      <c r="I311" s="549" t="str">
        <f aca="false">"[fr]"&amp;E311</f>
        <v>[fr]Personalkosten (brutto ohne Dienstgeberanteil)</v>
      </c>
      <c r="J311" s="549" t="str">
        <f aca="false">"[pt]"&amp;E311</f>
        <v>[pt]Personalkosten (brutto ohne Dienstgeberanteil)</v>
      </c>
      <c r="K311" s="549" t="str">
        <f aca="false">"[gr]"&amp;E311</f>
        <v>[gr]Personalkosten (brutto ohne Dienstgeberanteil)</v>
      </c>
    </row>
    <row r="312" customFormat="false" ht="41.85" hidden="false" customHeight="true" outlineLevel="0" collapsed="false">
      <c r="D312" s="552" t="str">
        <f aca="false">HLOOKUP($C$1,$E$1:$X$4910,ROW(D312))</f>
        <v>Enter the 3 countries and regions where most of the staff are</v>
      </c>
      <c r="E312" s="555" t="s">
        <v>1927</v>
      </c>
      <c r="F312" s="549" t="s">
        <v>1928</v>
      </c>
      <c r="G312" s="556" t="s">
        <v>1929</v>
      </c>
      <c r="H312" s="549" t="s">
        <v>1930</v>
      </c>
      <c r="I312" s="549" t="str">
        <f aca="false">"[fr]"&amp;E312</f>
        <v>[fr]Tragen Sie bitte nachstehend jene drei Länder und Regionen ein, wo die meisten Mitarbeitenden arbeiten</v>
      </c>
      <c r="J312" s="549" t="str">
        <f aca="false">"[pt]"&amp;E312</f>
        <v>[pt]Tragen Sie bitte nachstehend jene drei Länder und Regionen ein, wo die meisten Mitarbeitenden arbeiten</v>
      </c>
      <c r="K312" s="549" t="str">
        <f aca="false">"[gr]"&amp;E312</f>
        <v>[gr]Tragen Sie bitte nachstehend jene drei Länder und Regionen ein, wo die meisten Mitarbeitenden arbeiten</v>
      </c>
    </row>
    <row r="313" customFormat="false" ht="15.75" hidden="false" customHeight="true" outlineLevel="0" collapsed="false">
      <c r="D313" s="552" t="str">
        <f aca="false">HLOOKUP($C$1,$E$1:$X$4910,ROW(D313))</f>
        <v>Country and region</v>
      </c>
      <c r="E313" s="549" t="s">
        <v>1931</v>
      </c>
      <c r="F313" s="549" t="s">
        <v>1932</v>
      </c>
      <c r="G313" s="556" t="s">
        <v>1933</v>
      </c>
      <c r="H313" s="549" t="s">
        <v>1934</v>
      </c>
      <c r="I313" s="549" t="str">
        <f aca="false">"[fr]"&amp;E313</f>
        <v>[fr]Land &amp; Region</v>
      </c>
      <c r="J313" s="549" t="str">
        <f aca="false">"[pt]"&amp;E313</f>
        <v>[pt]Land &amp; Region</v>
      </c>
      <c r="K313" s="549" t="str">
        <f aca="false">"[gr]"&amp;E313</f>
        <v>[gr]Land &amp; Region</v>
      </c>
    </row>
    <row r="314" customFormat="false" ht="15.75" hidden="false" customHeight="true" outlineLevel="0" collapsed="false">
      <c r="D314" s="552" t="str">
        <f aca="false">HLOOKUP($C$1,$E$1:$X$4910,ROW(D314))</f>
        <v>Amount in %</v>
      </c>
      <c r="E314" s="549" t="s">
        <v>1935</v>
      </c>
      <c r="F314" s="549" t="s">
        <v>1936</v>
      </c>
      <c r="G314" s="556" t="s">
        <v>1937</v>
      </c>
      <c r="H314" s="549" t="s">
        <v>1938</v>
      </c>
      <c r="I314" s="549" t="str">
        <f aca="false">"[fr]"&amp;E314</f>
        <v>[fr]Anteil in %</v>
      </c>
      <c r="J314" s="549" t="str">
        <f aca="false">"[pt]"&amp;E314</f>
        <v>[pt]Anteil in %</v>
      </c>
      <c r="K314" s="549" t="str">
        <f aca="false">"[gr]"&amp;E314</f>
        <v>[gr]Anteil in %</v>
      </c>
    </row>
    <row r="315" customFormat="false" ht="28.5" hidden="false" customHeight="true" outlineLevel="0" collapsed="false">
      <c r="D315" s="552" t="str">
        <f aca="false">HLOOKUP($C$1,$E$1:$X$4910,ROW(D315))</f>
        <v>Average journey to work for staff (in km)</v>
      </c>
      <c r="E315" s="549" t="s">
        <v>1939</v>
      </c>
      <c r="F315" s="549" t="s">
        <v>1940</v>
      </c>
      <c r="G315" s="556" t="s">
        <v>1941</v>
      </c>
      <c r="H315" s="549" t="s">
        <v>1942</v>
      </c>
      <c r="I315" s="549" t="str">
        <f aca="false">"[fr]"&amp;E315</f>
        <v>[fr]Durchschnittlicher Arbeitsweg der Mitarbeitenden (in km):</v>
      </c>
      <c r="J315" s="549" t="str">
        <f aca="false">"[pt]"&amp;E315</f>
        <v>[pt]Durchschnittlicher Arbeitsweg der Mitarbeitenden (in km):</v>
      </c>
      <c r="K315" s="549" t="str">
        <f aca="false">"[gr]"&amp;E315</f>
        <v>[gr]Durchschnittlicher Arbeitsweg der Mitarbeitenden (in km):</v>
      </c>
    </row>
    <row r="316" customFormat="false" ht="29.25" hidden="false" customHeight="true" outlineLevel="0" collapsed="false">
      <c r="D316" s="552" t="str">
        <f aca="false">HLOOKUP($C$1,$E$1:$X$4910,ROW(D316))</f>
        <v>Is there a canteen for the majority of staff?</v>
      </c>
      <c r="E316" s="549" t="s">
        <v>1943</v>
      </c>
      <c r="F316" s="549" t="s">
        <v>1944</v>
      </c>
      <c r="G316" s="556" t="s">
        <v>1945</v>
      </c>
      <c r="H316" s="549" t="s">
        <v>1946</v>
      </c>
      <c r="I316" s="549" t="str">
        <f aca="false">"[fr]"&amp;E316</f>
        <v>[fr]Gibt es eine Kantine für die Mehrheit der Mitarbeitenden?</v>
      </c>
      <c r="J316" s="549" t="str">
        <f aca="false">"[pt]"&amp;E316</f>
        <v>[pt]Gibt es eine Kantine für die Mehrheit der Mitarbeitenden?</v>
      </c>
      <c r="K316" s="549" t="str">
        <f aca="false">"[gr]"&amp;E316</f>
        <v>[gr]Gibt es eine Kantine für die Mehrheit der Mitarbeitenden?</v>
      </c>
    </row>
    <row r="317" customFormat="false" ht="15.75" hidden="false" customHeight="true" outlineLevel="0" collapsed="false">
      <c r="D317" s="552" t="str">
        <f aca="false">HLOOKUP($C$1,$E$1:$X$4910,ROW(D317))</f>
        <v>Turnover (in Euros)</v>
      </c>
      <c r="E317" s="549" t="s">
        <v>1947</v>
      </c>
      <c r="F317" s="549" t="s">
        <v>1948</v>
      </c>
      <c r="G317" s="556" t="s">
        <v>1949</v>
      </c>
      <c r="H317" s="549" t="s">
        <v>1950</v>
      </c>
      <c r="I317" s="549" t="str">
        <f aca="false">"[fr]"&amp;E317</f>
        <v>[fr]Umsatz (in Euro)</v>
      </c>
      <c r="J317" s="549" t="str">
        <f aca="false">"[pt]"&amp;E317</f>
        <v>[pt]Umsatz (in Euro)</v>
      </c>
      <c r="K317" s="549" t="str">
        <f aca="false">"[gr]"&amp;E317</f>
        <v>[gr]Umsatz (in Euro)</v>
      </c>
    </row>
    <row r="318" customFormat="false" ht="28.5" hidden="false" customHeight="true" outlineLevel="0" collapsed="false">
      <c r="D318" s="552" t="str">
        <f aca="false">HLOOKUP($C$1,$E$1:$X$4910,ROW(D318))</f>
        <v>Are your customers mainly other companies?</v>
      </c>
      <c r="E318" s="549" t="s">
        <v>1951</v>
      </c>
      <c r="F318" s="549" t="s">
        <v>1952</v>
      </c>
      <c r="G318" s="556" t="s">
        <v>1953</v>
      </c>
      <c r="H318" s="549" t="s">
        <v>1954</v>
      </c>
      <c r="I318" s="549" t="str">
        <f aca="false">"[fr]"&amp;E318</f>
        <v>[fr]Haben Sie nahezu ausschließlich Unternehmen als Kunden</v>
      </c>
      <c r="J318" s="549" t="str">
        <f aca="false">"[pt]"&amp;E318</f>
        <v>[pt]Haben Sie nahezu ausschließlich Unternehmen als Kunden</v>
      </c>
      <c r="K318" s="549" t="str">
        <f aca="false">"[gr]"&amp;E318</f>
        <v>[gr]Haben Sie nahezu ausschließlich Unternehmen als Kunden</v>
      </c>
    </row>
    <row r="319" customFormat="false" ht="41.85" hidden="false" customHeight="true" outlineLevel="0" collapsed="false">
      <c r="D319" s="552" t="str">
        <f aca="false">HLOOKUP($C$1,$E$1:$X$4910,ROW(D319))</f>
        <v>Enter the 3 most important industry sectors which your company is active in, including a rough share of turnover</v>
      </c>
      <c r="E319" s="549" t="s">
        <v>1955</v>
      </c>
      <c r="F319" s="549" t="s">
        <v>1956</v>
      </c>
      <c r="G319" s="556" t="s">
        <v>1957</v>
      </c>
      <c r="H319" s="549" t="s">
        <v>1958</v>
      </c>
      <c r="I319" s="549" t="str">
        <f aca="false">"[fr]"&amp;E319</f>
        <v>[fr]Tragen Sie nachstehend, bitte die 3 wichtigsten Branchen ein, in denen Ihr Unternehmen tätig ist, inklusive ungefährem Umsatzanteil</v>
      </c>
      <c r="J319" s="549" t="str">
        <f aca="false">"[pt]"&amp;E319</f>
        <v>[pt]Tragen Sie nachstehend, bitte die 3 wichtigsten Branchen ein, in denen Ihr Unternehmen tätig ist, inklusive ungefährem Umsatzanteil</v>
      </c>
      <c r="K319" s="549" t="str">
        <f aca="false">"[gr]"&amp;E319</f>
        <v>[gr]Tragen Sie nachstehend, bitte die 3 wichtigsten Branchen ein, in denen Ihr Unternehmen tätig ist, inklusive ungefährem Umsatzanteil</v>
      </c>
    </row>
    <row r="320" customFormat="false" ht="15.75" hidden="false" customHeight="true" outlineLevel="0" collapsed="false">
      <c r="D320" s="552" t="str">
        <f aca="false">HLOOKUP($C$1,$E$1:$X$4910,ROW(D320))</f>
        <v>Industry sector</v>
      </c>
      <c r="E320" s="549" t="s">
        <v>1876</v>
      </c>
      <c r="F320" s="549" t="s">
        <v>1877</v>
      </c>
      <c r="G320" s="556" t="s">
        <v>1878</v>
      </c>
      <c r="H320" s="549" t="s">
        <v>1879</v>
      </c>
      <c r="I320" s="549" t="str">
        <f aca="false">"[fr]"&amp;E320</f>
        <v>[fr]Branche</v>
      </c>
      <c r="J320" s="549" t="str">
        <f aca="false">"[pt]"&amp;E320</f>
        <v>[pt]Branche</v>
      </c>
      <c r="K320" s="549" t="str">
        <f aca="false">"[gr]"&amp;E320</f>
        <v>[gr]Branche</v>
      </c>
    </row>
    <row r="321" customFormat="false" ht="15.75" hidden="false" customHeight="true" outlineLevel="0" collapsed="false">
      <c r="D321" s="552" t="str">
        <f aca="false">HLOOKUP($C$1,$E$1:$X$4910,ROW(D321))</f>
        <v>Description</v>
      </c>
      <c r="E321" s="549" t="s">
        <v>1880</v>
      </c>
      <c r="F321" s="549" t="s">
        <v>1959</v>
      </c>
      <c r="G321" s="556" t="s">
        <v>1881</v>
      </c>
      <c r="H321" s="549" t="s">
        <v>1882</v>
      </c>
      <c r="I321" s="549" t="str">
        <f aca="false">"[fr]"&amp;E321</f>
        <v>[fr]Beschreibung</v>
      </c>
      <c r="J321" s="549" t="str">
        <f aca="false">"[pt]"&amp;E321</f>
        <v>[pt]Beschreibung</v>
      </c>
      <c r="K321" s="549" t="str">
        <f aca="false">"[gr]"&amp;E321</f>
        <v>[gr]Beschreibung</v>
      </c>
    </row>
    <row r="322" customFormat="false" ht="15.75" hidden="false" customHeight="true" outlineLevel="0" collapsed="false">
      <c r="D322" s="552" t="str">
        <f aca="false">HLOOKUP($C$1,$E$1:$X$4910,ROW(D322))</f>
        <v>% Amount of total turnover</v>
      </c>
      <c r="E322" s="549" t="s">
        <v>1960</v>
      </c>
      <c r="F322" s="549" t="s">
        <v>1961</v>
      </c>
      <c r="G322" s="556" t="s">
        <v>1962</v>
      </c>
      <c r="H322" s="549" t="s">
        <v>1963</v>
      </c>
      <c r="I322" s="549" t="str">
        <f aca="false">"[fr]"&amp;E322</f>
        <v>[fr]% Anteil am Gesamtumsatz</v>
      </c>
      <c r="J322" s="549" t="str">
        <f aca="false">"[pt]"&amp;E322</f>
        <v>[pt]% Anteil am Gesamtumsatz</v>
      </c>
      <c r="K322" s="549" t="str">
        <f aca="false">"[gr]"&amp;E322</f>
        <v>[gr]% Anteil am Gesamtumsatz</v>
      </c>
    </row>
    <row r="323" customFormat="false" ht="15.75" hidden="false" customHeight="true" outlineLevel="0" collapsed="false">
      <c r="D323" s="552" t="str">
        <f aca="false">HLOOKUP($C$1,$E$1:$X$4910,ROW(D323))</f>
        <v>Company size</v>
      </c>
      <c r="E323" s="549" t="s">
        <v>1964</v>
      </c>
      <c r="F323" s="549" t="s">
        <v>1965</v>
      </c>
      <c r="G323" s="556" t="s">
        <v>1966</v>
      </c>
      <c r="H323" s="549" t="s">
        <v>1967</v>
      </c>
      <c r="I323" s="549" t="str">
        <f aca="false">"[fr]"&amp;E323</f>
        <v>[fr]Unternehmensgrösse</v>
      </c>
      <c r="J323" s="549" t="str">
        <f aca="false">"[pt]"&amp;E323</f>
        <v>[pt]Unternehmensgrösse</v>
      </c>
      <c r="K323" s="549" t="str">
        <f aca="false">"[gr]"&amp;E323</f>
        <v>[gr]Unternehmensgrösse</v>
      </c>
    </row>
    <row r="324" customFormat="false" ht="15.75" hidden="false" customHeight="true" outlineLevel="0" collapsed="false">
      <c r="D324" s="552" t="str">
        <f aca="false">HLOOKUP($C$1,$E$1:$X$4910,ROW(D324))</f>
        <v>Micro-business</v>
      </c>
      <c r="E324" s="549" t="s">
        <v>1968</v>
      </c>
      <c r="F324" s="549" t="s">
        <v>1969</v>
      </c>
      <c r="G324" s="556" t="s">
        <v>1970</v>
      </c>
      <c r="H324" s="549" t="s">
        <v>1971</v>
      </c>
      <c r="I324" s="549" t="str">
        <f aca="false">"[fr]"&amp;E324</f>
        <v>[fr]Kleinstunternehmen</v>
      </c>
      <c r="J324" s="549" t="str">
        <f aca="false">"[pt]"&amp;E324</f>
        <v>[pt]Kleinstunternehmen</v>
      </c>
      <c r="K324" s="549" t="str">
        <f aca="false">"[gr]"&amp;E324</f>
        <v>[gr]Kleinstunternehmen</v>
      </c>
    </row>
    <row r="325" customFormat="false" ht="15.75" hidden="false" customHeight="true" outlineLevel="0" collapsed="false">
      <c r="D325" s="552" t="str">
        <f aca="false">HLOOKUP($C$1,$E$1:$X$4910,ROW(D325))</f>
        <v>Small business</v>
      </c>
      <c r="E325" s="549" t="s">
        <v>1972</v>
      </c>
      <c r="F325" s="549" t="s">
        <v>1973</v>
      </c>
      <c r="G325" s="556" t="s">
        <v>1974</v>
      </c>
      <c r="H325" s="549" t="s">
        <v>1975</v>
      </c>
      <c r="I325" s="549" t="str">
        <f aca="false">"[fr]"&amp;E325</f>
        <v>[fr]Kleinunternehmen</v>
      </c>
      <c r="J325" s="549" t="str">
        <f aca="false">"[pt]"&amp;E325</f>
        <v>[pt]Kleinunternehmen</v>
      </c>
      <c r="K325" s="549" t="str">
        <f aca="false">"[gr]"&amp;E325</f>
        <v>[gr]Kleinunternehmen</v>
      </c>
    </row>
    <row r="326" customFormat="false" ht="15.75" hidden="false" customHeight="true" outlineLevel="0" collapsed="false">
      <c r="D326" s="552" t="str">
        <f aca="false">HLOOKUP($C$1,$E$1:$X$4910,ROW(D326))</f>
        <v>Medium business</v>
      </c>
      <c r="E326" s="549" t="s">
        <v>1976</v>
      </c>
      <c r="F326" s="549" t="s">
        <v>1977</v>
      </c>
      <c r="G326" s="556" t="s">
        <v>1978</v>
      </c>
      <c r="H326" s="549" t="s">
        <v>1979</v>
      </c>
      <c r="I326" s="549" t="str">
        <f aca="false">"[fr]"&amp;E326</f>
        <v>[fr]Mittleres Unternehmen</v>
      </c>
      <c r="J326" s="549" t="str">
        <f aca="false">"[pt]"&amp;E326</f>
        <v>[pt]Mittleres Unternehmen</v>
      </c>
      <c r="K326" s="549" t="str">
        <f aca="false">"[gr]"&amp;E326</f>
        <v>[gr]Mittleres Unternehmen</v>
      </c>
    </row>
    <row r="327" customFormat="false" ht="15.75" hidden="false" customHeight="true" outlineLevel="0" collapsed="false">
      <c r="D327" s="552" t="str">
        <f aca="false">HLOOKUP($C$1,$E$1:$X$4910,ROW(D327))</f>
        <v>Large business</v>
      </c>
      <c r="E327" s="549" t="s">
        <v>1980</v>
      </c>
      <c r="F327" s="549" t="s">
        <v>1981</v>
      </c>
      <c r="G327" s="556" t="s">
        <v>1982</v>
      </c>
      <c r="H327" s="549" t="s">
        <v>1983</v>
      </c>
      <c r="I327" s="549" t="str">
        <f aca="false">"[fr]"&amp;E327</f>
        <v>[fr]Grossunternehmen</v>
      </c>
      <c r="J327" s="549" t="str">
        <f aca="false">"[pt]"&amp;E327</f>
        <v>[pt]Grossunternehmen</v>
      </c>
      <c r="K327" s="549" t="str">
        <f aca="false">"[gr]"&amp;E327</f>
        <v>[gr]Grossunternehmen</v>
      </c>
    </row>
    <row r="328" customFormat="false" ht="28.5" hidden="false" customHeight="true" outlineLevel="0" collapsed="false">
      <c r="D328" s="552" t="str">
        <f aca="false">HLOOKUP($C$1,$E$1:$X$4910,ROW(D328))</f>
        <v>[en]In diesem Tabellenblatt wird die Gemeinwohlbilanz berechnet.</v>
      </c>
      <c r="E328" s="555" t="s">
        <v>1984</v>
      </c>
      <c r="F328" s="549" t="s">
        <v>1985</v>
      </c>
      <c r="G328" s="549" t="str">
        <f aca="false">"[en]"&amp;E328</f>
        <v>[en]In diesem Tabellenblatt wird die Gemeinwohlbilanz berechnet.</v>
      </c>
      <c r="H328" s="549" t="s">
        <v>1986</v>
      </c>
      <c r="I328" s="549" t="str">
        <f aca="false">"[fr]"&amp;E328</f>
        <v>[fr]In diesem Tabellenblatt wird die Gemeinwohlbilanz berechnet.</v>
      </c>
      <c r="J328" s="549" t="str">
        <f aca="false">"[pt]"&amp;E328</f>
        <v>[pt]In diesem Tabellenblatt wird die Gemeinwohlbilanz berechnet.</v>
      </c>
      <c r="K328" s="549" t="str">
        <f aca="false">"[gr]"&amp;E328</f>
        <v>[gr]In diesem Tabellenblatt wird die Gemeinwohlbilanz berechnet.</v>
      </c>
    </row>
    <row r="329" customFormat="false" ht="28.5" hidden="false" customHeight="true" outlineLevel="0" collapsed="false">
      <c r="D329" s="552" t="str">
        <f aca="false">HLOOKUP($C$1,$E$1:$X$4910,ROW(D329))</f>
        <v>Introduce value between 0 and 10</v>
      </c>
      <c r="E329" s="555" t="s">
        <v>1987</v>
      </c>
      <c r="F329" s="615" t="s">
        <v>1988</v>
      </c>
      <c r="G329" s="556" t="s">
        <v>1989</v>
      </c>
      <c r="H329" s="549" t="s">
        <v>1990</v>
      </c>
      <c r="I329" s="549" t="str">
        <f aca="false">"[fr]"&amp;E329</f>
        <v>[fr]Skalenwert eingeben: Wert muss im Bereich von 0 bis 10 liegen.</v>
      </c>
      <c r="J329" s="549" t="str">
        <f aca="false">"[pt]"&amp;E329</f>
        <v>[pt]Skalenwert eingeben: Wert muss im Bereich von 0 bis 10 liegen.</v>
      </c>
      <c r="K329" s="549" t="str">
        <f aca="false">"[gr]"&amp;E329</f>
        <v>[gr]Skalenwert eingeben: Wert muss im Bereich von 0 bis 10 liegen.</v>
      </c>
    </row>
    <row r="330" customFormat="false" ht="28.5" hidden="false" customHeight="true" outlineLevel="0" collapsed="false">
      <c r="D330" s="552" t="str">
        <f aca="false">HLOOKUP($C$1,$E$1:$X$4910,ROW(D330))</f>
        <v>Introduce negative points between 0 and -200</v>
      </c>
      <c r="E330" s="555" t="s">
        <v>1991</v>
      </c>
      <c r="F330" s="615" t="s">
        <v>1992</v>
      </c>
      <c r="G330" s="556" t="s">
        <v>1993</v>
      </c>
      <c r="H330" s="549" t="s">
        <v>1994</v>
      </c>
      <c r="I330" s="549" t="str">
        <f aca="false">"[fr]"&amp;E330</f>
        <v>[fr]Negativpunkte eingeben: Werte müssen im Bereich von -200 bis 0 liegen.</v>
      </c>
      <c r="J330" s="549" t="str">
        <f aca="false">"[pt]"&amp;E330</f>
        <v>[pt]Negativpunkte eingeben: Werte müssen im Bereich von -200 bis 0 liegen.</v>
      </c>
      <c r="K330" s="549" t="str">
        <f aca="false">"[gr]"&amp;E330</f>
        <v>[gr]Negativpunkte eingeben: Werte müssen im Bereich von -200 bis 0 liegen.</v>
      </c>
    </row>
    <row r="331" customFormat="false" ht="15.75" hidden="false" customHeight="true" outlineLevel="0" collapsed="false">
      <c r="D331" s="552" t="str">
        <f aca="false">HLOOKUP($C$1,$E$1:$X$4910,ROW(D331))</f>
        <v>[en]globaler Durchschnitt</v>
      </c>
      <c r="E331" s="616" t="s">
        <v>1995</v>
      </c>
      <c r="F331" s="549" t="s">
        <v>1996</v>
      </c>
      <c r="G331" s="556" t="str">
        <f aca="false">"[en]"&amp;E331</f>
        <v>[en]globaler Durchschnitt</v>
      </c>
      <c r="H331" s="549" t="s">
        <v>1997</v>
      </c>
      <c r="I331" s="549" t="str">
        <f aca="false">"[fr]"&amp;E331</f>
        <v>[fr]globaler Durchschnitt</v>
      </c>
      <c r="J331" s="549" t="str">
        <f aca="false">"[pt]"&amp;E331</f>
        <v>[pt]globaler Durchschnitt</v>
      </c>
      <c r="K331" s="549" t="str">
        <f aca="false">"[gr]"&amp;E331</f>
        <v>[gr]globaler Durchschnitt</v>
      </c>
    </row>
    <row r="332" customFormat="false" ht="15.75" hidden="false" customHeight="true" outlineLevel="0" collapsed="false">
      <c r="D332" s="552" t="str">
        <f aca="false">HLOOKUP($C$1,$E$1:$X$4910,ROW(D332))</f>
        <v>Please choose</v>
      </c>
      <c r="E332" s="616" t="s">
        <v>1998</v>
      </c>
      <c r="F332" s="549" t="s">
        <v>1545</v>
      </c>
      <c r="G332" s="556" t="s">
        <v>1546</v>
      </c>
      <c r="H332" s="549" t="s">
        <v>1999</v>
      </c>
      <c r="I332" s="549" t="str">
        <f aca="false">"[fr]"&amp;E332</f>
        <v>[fr]Bitte auswählen</v>
      </c>
      <c r="J332" s="549" t="str">
        <f aca="false">"[pt]"&amp;E332</f>
        <v>[pt]Bitte auswählen</v>
      </c>
      <c r="K332" s="549" t="str">
        <f aca="false">"[gr]"&amp;E332</f>
        <v>[gr]Bitte auswählen</v>
      </c>
    </row>
    <row r="333" customFormat="false" ht="16.35" hidden="false" customHeight="true" outlineLevel="0" collapsed="false">
      <c r="D333" s="552" t="str">
        <f aca="false">HLOOKUP($C$1,$E$1:$X$4910,ROW(D333))</f>
        <v>[en]Afrika</v>
      </c>
      <c r="E333" s="616" t="s">
        <v>2000</v>
      </c>
      <c r="F333" s="549" t="s">
        <v>269</v>
      </c>
      <c r="G333" s="556" t="str">
        <f aca="false">"[en]"&amp;E333</f>
        <v>[en]Afrika</v>
      </c>
      <c r="H333" s="549" t="s">
        <v>2001</v>
      </c>
      <c r="I333" s="549" t="str">
        <f aca="false">"[fr]"&amp;E333</f>
        <v>[fr]Afrika</v>
      </c>
      <c r="J333" s="549" t="str">
        <f aca="false">"[pt]"&amp;E333</f>
        <v>[pt]Afrika</v>
      </c>
      <c r="K333" s="549" t="str">
        <f aca="false">"[gr]"&amp;E333</f>
        <v>[gr]Afrika</v>
      </c>
    </row>
    <row r="334" customFormat="false" ht="16.35" hidden="false" customHeight="true" outlineLevel="0" collapsed="false">
      <c r="D334" s="552" t="str">
        <f aca="false">HLOOKUP($C$1,$E$1:$X$4910,ROW(D334))</f>
        <v>[en]Nord-Afrika und Mittlere Osten</v>
      </c>
      <c r="E334" s="616" t="s">
        <v>2002</v>
      </c>
      <c r="F334" s="549" t="s">
        <v>2003</v>
      </c>
      <c r="G334" s="556" t="str">
        <f aca="false">"[en]"&amp;E334</f>
        <v>[en]Nord-Afrika und Mittlere Osten</v>
      </c>
      <c r="H334" s="549" t="s">
        <v>2004</v>
      </c>
      <c r="I334" s="549" t="str">
        <f aca="false">"[fr]"&amp;E334</f>
        <v>[fr]Nord-Afrika und Mittlere Osten</v>
      </c>
      <c r="J334" s="549" t="str">
        <f aca="false">"[pt]"&amp;E334</f>
        <v>[pt]Nord-Afrika und Mittlere Osten</v>
      </c>
      <c r="K334" s="549" t="str">
        <f aca="false">"[gr]"&amp;E334</f>
        <v>[gr]Nord-Afrika und Mittlere Osten</v>
      </c>
    </row>
    <row r="335" customFormat="false" ht="16.35" hidden="false" customHeight="true" outlineLevel="0" collapsed="false">
      <c r="D335" s="552" t="str">
        <f aca="false">HLOOKUP($C$1,$E$1:$X$4910,ROW(D335))</f>
        <v>[en]Latein-Amerika</v>
      </c>
      <c r="E335" s="616" t="s">
        <v>2005</v>
      </c>
      <c r="F335" s="549" t="s">
        <v>2006</v>
      </c>
      <c r="G335" s="556" t="str">
        <f aca="false">"[en]"&amp;E335</f>
        <v>[en]Latein-Amerika</v>
      </c>
      <c r="H335" s="549" t="s">
        <v>2007</v>
      </c>
      <c r="I335" s="549" t="str">
        <f aca="false">"[fr]"&amp;E335</f>
        <v>[fr]Latein-Amerika</v>
      </c>
      <c r="J335" s="549" t="str">
        <f aca="false">"[pt]"&amp;E335</f>
        <v>[pt]Latein-Amerika</v>
      </c>
      <c r="K335" s="549" t="str">
        <f aca="false">"[gr]"&amp;E335</f>
        <v>[gr]Latein-Amerika</v>
      </c>
    </row>
    <row r="336" customFormat="false" ht="16.35" hidden="false" customHeight="true" outlineLevel="0" collapsed="false">
      <c r="D336" s="552" t="str">
        <f aca="false">HLOOKUP($C$1,$E$1:$X$4910,ROW(D336))</f>
        <v>[en]Nord-Amerika &amp; Ozeanien</v>
      </c>
      <c r="E336" s="616" t="s">
        <v>2008</v>
      </c>
      <c r="F336" s="549" t="s">
        <v>2009</v>
      </c>
      <c r="G336" s="556" t="str">
        <f aca="false">"[en]"&amp;E336</f>
        <v>[en]Nord-Amerika &amp; Ozeanien</v>
      </c>
      <c r="H336" s="549" t="s">
        <v>2010</v>
      </c>
      <c r="I336" s="549" t="str">
        <f aca="false">"[fr]"&amp;E336</f>
        <v>[fr]Nord-Amerika &amp; Ozeanien</v>
      </c>
      <c r="J336" s="549" t="str">
        <f aca="false">"[pt]"&amp;E336</f>
        <v>[pt]Nord-Amerika &amp; Ozeanien</v>
      </c>
      <c r="K336" s="549" t="str">
        <f aca="false">"[gr]"&amp;E336</f>
        <v>[gr]Nord-Amerika &amp; Ozeanien</v>
      </c>
    </row>
    <row r="337" customFormat="false" ht="16.35" hidden="false" customHeight="true" outlineLevel="0" collapsed="false">
      <c r="D337" s="552" t="str">
        <f aca="false">HLOOKUP($C$1,$E$1:$X$4910,ROW(D337))</f>
        <v>[en]Asien</v>
      </c>
      <c r="E337" s="616" t="s">
        <v>2011</v>
      </c>
      <c r="F337" s="549" t="s">
        <v>266</v>
      </c>
      <c r="G337" s="556" t="str">
        <f aca="false">"[en]"&amp;E337</f>
        <v>[en]Asien</v>
      </c>
      <c r="H337" s="549" t="s">
        <v>266</v>
      </c>
      <c r="I337" s="549" t="str">
        <f aca="false">"[fr]"&amp;E337</f>
        <v>[fr]Asien</v>
      </c>
      <c r="J337" s="549" t="str">
        <f aca="false">"[pt]"&amp;E337</f>
        <v>[pt]Asien</v>
      </c>
      <c r="K337" s="549" t="str">
        <f aca="false">"[gr]"&amp;E337</f>
        <v>[gr]Asien</v>
      </c>
    </row>
    <row r="338" customFormat="false" ht="15.75" hidden="false" customHeight="true" outlineLevel="0" collapsed="false">
      <c r="D338" s="552" t="str">
        <f aca="false">HLOOKUP($C$1,$E$1:$X$4910,ROW(D338))</f>
        <v>[en]Europa</v>
      </c>
      <c r="E338" s="616" t="s">
        <v>2012</v>
      </c>
      <c r="F338" s="549" t="s">
        <v>2012</v>
      </c>
      <c r="G338" s="556" t="str">
        <f aca="false">"[en]"&amp;E338</f>
        <v>[en]Europa</v>
      </c>
      <c r="H338" s="549" t="s">
        <v>2012</v>
      </c>
      <c r="I338" s="549" t="str">
        <f aca="false">"[fr]"&amp;E338</f>
        <v>[fr]Europa</v>
      </c>
      <c r="J338" s="549" t="str">
        <f aca="false">"[pt]"&amp;E338</f>
        <v>[pt]Europa</v>
      </c>
      <c r="K338" s="549" t="str">
        <f aca="false">"[gr]"&amp;E338</f>
        <v>[gr]Europa</v>
      </c>
    </row>
    <row r="339" customFormat="false" ht="15.75" hidden="false" customHeight="true" outlineLevel="0" collapsed="false">
      <c r="A339" s="617" t="s">
        <v>264</v>
      </c>
      <c r="B339" s="569" t="s">
        <v>2013</v>
      </c>
      <c r="C339" s="617" t="s">
        <v>2014</v>
      </c>
      <c r="D339" s="552" t="str">
        <f aca="false">A339&amp;" "&amp;HLOOKUP($C$1,$E$1:$X$4910,ROW(D339))</f>
        <v>ABW Aruba</v>
      </c>
      <c r="E339" s="618" t="s">
        <v>261</v>
      </c>
      <c r="F339" s="549" t="s">
        <v>2015</v>
      </c>
      <c r="G339" s="556" t="s">
        <v>2015</v>
      </c>
      <c r="H339" s="549" t="s">
        <v>261</v>
      </c>
      <c r="I339" s="549" t="s">
        <v>261</v>
      </c>
      <c r="J339" s="549" t="str">
        <f aca="false">"[pt]"&amp;E339</f>
        <v>[pt]Aruba</v>
      </c>
      <c r="K339" s="549" t="str">
        <f aca="false">"[gr]"&amp;E339</f>
        <v>[gr]Aruba</v>
      </c>
      <c r="L339" s="619" t="s">
        <v>264</v>
      </c>
      <c r="M339" s="550" t="str">
        <f aca="false">IF(L339=A339,"","nix")</f>
        <v/>
      </c>
    </row>
    <row r="340" customFormat="false" ht="15.75" hidden="false" customHeight="true" outlineLevel="0" collapsed="false">
      <c r="A340" s="617" t="s">
        <v>267</v>
      </c>
      <c r="B340" s="569" t="s">
        <v>2016</v>
      </c>
      <c r="C340" s="617" t="s">
        <v>2017</v>
      </c>
      <c r="D340" s="552" t="str">
        <f aca="false">A340&amp;" "&amp;HLOOKUP($C$1,$E$1:$X$4910,ROW(D340))</f>
        <v>AFG Afghanistan</v>
      </c>
      <c r="E340" s="618" t="s">
        <v>265</v>
      </c>
      <c r="F340" s="549" t="s">
        <v>2018</v>
      </c>
      <c r="G340" s="556" t="s">
        <v>2018</v>
      </c>
      <c r="H340" s="549" t="s">
        <v>2019</v>
      </c>
      <c r="I340" s="549" t="s">
        <v>265</v>
      </c>
      <c r="J340" s="549" t="str">
        <f aca="false">"[pt]"&amp;E340</f>
        <v>[pt]Afghanistan</v>
      </c>
      <c r="K340" s="549" t="str">
        <f aca="false">"[gr]"&amp;E340</f>
        <v>[gr]Afghanistan</v>
      </c>
      <c r="L340" s="619" t="s">
        <v>267</v>
      </c>
      <c r="M340" s="550" t="str">
        <f aca="false">IF(L340=A340,"","nix")</f>
        <v/>
      </c>
    </row>
    <row r="341" customFormat="false" ht="15.75" hidden="false" customHeight="true" outlineLevel="0" collapsed="false">
      <c r="A341" s="617" t="s">
        <v>270</v>
      </c>
      <c r="B341" s="569" t="s">
        <v>2020</v>
      </c>
      <c r="C341" s="617" t="s">
        <v>2021</v>
      </c>
      <c r="D341" s="552" t="str">
        <f aca="false">A341&amp;" "&amp;HLOOKUP($C$1,$E$1:$X$4910,ROW(D341))</f>
        <v>AGO Angola</v>
      </c>
      <c r="E341" s="618" t="s">
        <v>268</v>
      </c>
      <c r="F341" s="549" t="s">
        <v>2022</v>
      </c>
      <c r="G341" s="556" t="s">
        <v>2022</v>
      </c>
      <c r="H341" s="549" t="s">
        <v>268</v>
      </c>
      <c r="I341" s="549" t="s">
        <v>268</v>
      </c>
      <c r="J341" s="549" t="str">
        <f aca="false">"[pt]"&amp;E341</f>
        <v>[pt]Angola</v>
      </c>
      <c r="K341" s="549" t="str">
        <f aca="false">"[gr]"&amp;E341</f>
        <v>[gr]Angola</v>
      </c>
      <c r="L341" s="619" t="s">
        <v>270</v>
      </c>
      <c r="M341" s="550" t="str">
        <f aca="false">IF(L341=A341,"","nix")</f>
        <v/>
      </c>
    </row>
    <row r="342" customFormat="false" ht="15.75" hidden="false" customHeight="true" outlineLevel="0" collapsed="false">
      <c r="A342" s="617" t="s">
        <v>273</v>
      </c>
      <c r="B342" s="569" t="s">
        <v>2023</v>
      </c>
      <c r="C342" s="617" t="s">
        <v>2024</v>
      </c>
      <c r="D342" s="552" t="str">
        <f aca="false">A342&amp;" "&amp;HLOOKUP($C$1,$E$1:$X$4910,ROW(D342))</f>
        <v>ALB Albania</v>
      </c>
      <c r="E342" s="618" t="s">
        <v>2025</v>
      </c>
      <c r="F342" s="549" t="s">
        <v>2026</v>
      </c>
      <c r="G342" s="556" t="s">
        <v>2026</v>
      </c>
      <c r="H342" s="549" t="s">
        <v>271</v>
      </c>
      <c r="I342" s="549" t="s">
        <v>2027</v>
      </c>
      <c r="J342" s="549" t="str">
        <f aca="false">"[pt]"&amp;E342</f>
        <v>[pt]Albanien</v>
      </c>
      <c r="K342" s="549" t="str">
        <f aca="false">"[gr]"&amp;E342</f>
        <v>[gr]Albanien</v>
      </c>
      <c r="L342" s="619" t="s">
        <v>273</v>
      </c>
      <c r="M342" s="550" t="str">
        <f aca="false">IF(L342=A342,"","nix")</f>
        <v/>
      </c>
    </row>
    <row r="343" customFormat="false" ht="15.75" hidden="false" customHeight="true" outlineLevel="0" collapsed="false">
      <c r="A343" s="617" t="s">
        <v>275</v>
      </c>
      <c r="B343" s="569" t="s">
        <v>2028</v>
      </c>
      <c r="C343" s="617" t="s">
        <v>2029</v>
      </c>
      <c r="D343" s="552" t="str">
        <f aca="false">A343&amp;" "&amp;HLOOKUP($C$1,$E$1:$X$4910,ROW(D343))</f>
        <v>AND Andorra</v>
      </c>
      <c r="E343" s="618" t="s">
        <v>274</v>
      </c>
      <c r="F343" s="549" t="s">
        <v>2030</v>
      </c>
      <c r="G343" s="556" t="s">
        <v>2030</v>
      </c>
      <c r="H343" s="549" t="s">
        <v>274</v>
      </c>
      <c r="I343" s="549" t="s">
        <v>2031</v>
      </c>
      <c r="J343" s="549" t="str">
        <f aca="false">"[pt]"&amp;E343</f>
        <v>[pt]Andorra</v>
      </c>
      <c r="K343" s="549" t="str">
        <f aca="false">"[gr]"&amp;E343</f>
        <v>[gr]Andorra</v>
      </c>
      <c r="L343" s="619" t="s">
        <v>275</v>
      </c>
      <c r="M343" s="550" t="str">
        <f aca="false">IF(L343=A343,"","nix")</f>
        <v/>
      </c>
    </row>
    <row r="344" customFormat="false" ht="15.75" hidden="false" customHeight="true" outlineLevel="0" collapsed="false">
      <c r="A344" s="617" t="s">
        <v>277</v>
      </c>
      <c r="B344" s="569" t="s">
        <v>2032</v>
      </c>
      <c r="C344" s="617" t="s">
        <v>2033</v>
      </c>
      <c r="D344" s="552" t="str">
        <f aca="false">A344&amp;" "&amp;HLOOKUP($C$1,$E$1:$X$4910,ROW(D344))</f>
        <v>ARE United Arab Emirates</v>
      </c>
      <c r="E344" s="618" t="s">
        <v>2034</v>
      </c>
      <c r="F344" s="549" t="s">
        <v>2035</v>
      </c>
      <c r="G344" s="556" t="s">
        <v>2036</v>
      </c>
      <c r="H344" s="549" t="s">
        <v>2037</v>
      </c>
      <c r="I344" s="549" t="s">
        <v>2038</v>
      </c>
      <c r="J344" s="549" t="str">
        <f aca="false">"[pt]"&amp;E344</f>
        <v>[pt]Vereinigte Arabische Emirate</v>
      </c>
      <c r="K344" s="549" t="str">
        <f aca="false">"[gr]"&amp;E344</f>
        <v>[gr]Vereinigte Arabische Emirate</v>
      </c>
      <c r="L344" s="619" t="s">
        <v>277</v>
      </c>
      <c r="M344" s="550" t="str">
        <f aca="false">IF(L344=A344,"","nix")</f>
        <v/>
      </c>
    </row>
    <row r="345" customFormat="false" ht="15.75" hidden="false" customHeight="true" outlineLevel="0" collapsed="false">
      <c r="A345" s="617" t="s">
        <v>279</v>
      </c>
      <c r="B345" s="569" t="s">
        <v>2039</v>
      </c>
      <c r="C345" s="617" t="s">
        <v>2040</v>
      </c>
      <c r="D345" s="552" t="str">
        <f aca="false">A345&amp;" "&amp;HLOOKUP($C$1,$E$1:$X$4910,ROW(D345))</f>
        <v>ARG Argentina</v>
      </c>
      <c r="E345" s="618" t="s">
        <v>2041</v>
      </c>
      <c r="F345" s="549" t="s">
        <v>2042</v>
      </c>
      <c r="G345" s="556" t="s">
        <v>2042</v>
      </c>
      <c r="H345" s="549" t="s">
        <v>278</v>
      </c>
      <c r="I345" s="549" t="s">
        <v>2043</v>
      </c>
      <c r="J345" s="549" t="str">
        <f aca="false">"[pt]"&amp;E345</f>
        <v>[pt]Argentinien</v>
      </c>
      <c r="K345" s="549" t="str">
        <f aca="false">"[gr]"&amp;E345</f>
        <v>[gr]Argentinien</v>
      </c>
      <c r="L345" s="619" t="s">
        <v>279</v>
      </c>
      <c r="M345" s="550" t="str">
        <f aca="false">IF(L345=A345,"","nix")</f>
        <v/>
      </c>
    </row>
    <row r="346" customFormat="false" ht="15.75" hidden="false" customHeight="true" outlineLevel="0" collapsed="false">
      <c r="A346" s="617" t="s">
        <v>281</v>
      </c>
      <c r="B346" s="569" t="s">
        <v>2044</v>
      </c>
      <c r="C346" s="617" t="s">
        <v>2045</v>
      </c>
      <c r="D346" s="552" t="str">
        <f aca="false">A346&amp;" "&amp;HLOOKUP($C$1,$E$1:$X$4910,ROW(D346))</f>
        <v>ARM Armenia</v>
      </c>
      <c r="E346" s="618" t="s">
        <v>2046</v>
      </c>
      <c r="F346" s="549" t="s">
        <v>2047</v>
      </c>
      <c r="G346" s="556" t="s">
        <v>2047</v>
      </c>
      <c r="H346" s="549" t="s">
        <v>280</v>
      </c>
      <c r="I346" s="549" t="s">
        <v>2048</v>
      </c>
      <c r="J346" s="549" t="str">
        <f aca="false">"[pt]"&amp;E346</f>
        <v>[pt]Armenien</v>
      </c>
      <c r="K346" s="549" t="str">
        <f aca="false">"[gr]"&amp;E346</f>
        <v>[gr]Armenien</v>
      </c>
      <c r="L346" s="619" t="s">
        <v>281</v>
      </c>
      <c r="M346" s="550" t="str">
        <f aca="false">IF(L346=A346,"","nix")</f>
        <v/>
      </c>
    </row>
    <row r="347" customFormat="false" ht="15.75" hidden="false" customHeight="true" outlineLevel="0" collapsed="false">
      <c r="A347" s="617" t="s">
        <v>284</v>
      </c>
      <c r="B347" s="569" t="s">
        <v>2049</v>
      </c>
      <c r="C347" s="617" t="s">
        <v>2050</v>
      </c>
      <c r="D347" s="552" t="str">
        <f aca="false">A347&amp;" "&amp;HLOOKUP($C$1,$E$1:$X$4910,ROW(D347))</f>
        <v>ASM American Samoa</v>
      </c>
      <c r="E347" s="618" t="s">
        <v>2051</v>
      </c>
      <c r="F347" s="549" t="s">
        <v>2052</v>
      </c>
      <c r="G347" s="556" t="s">
        <v>2053</v>
      </c>
      <c r="H347" s="549" t="s">
        <v>2054</v>
      </c>
      <c r="I347" s="549" t="s">
        <v>2055</v>
      </c>
      <c r="J347" s="549" t="str">
        <f aca="false">"[pt]"&amp;E347</f>
        <v>[pt]Amerikanisch-Samoa</v>
      </c>
      <c r="K347" s="549" t="str">
        <f aca="false">"[gr]"&amp;E347</f>
        <v>[gr]Amerikanisch-Samoa</v>
      </c>
      <c r="L347" s="619" t="s">
        <v>284</v>
      </c>
      <c r="M347" s="550" t="str">
        <f aca="false">IF(L347=A347,"","nix")</f>
        <v/>
      </c>
    </row>
    <row r="348" customFormat="false" ht="15.75" hidden="false" customHeight="true" outlineLevel="0" collapsed="false">
      <c r="A348" s="617" t="s">
        <v>286</v>
      </c>
      <c r="B348" s="569" t="s">
        <v>2056</v>
      </c>
      <c r="C348" s="617" t="s">
        <v>2057</v>
      </c>
      <c r="D348" s="552" t="str">
        <f aca="false">A348&amp;" "&amp;HLOOKUP($C$1,$E$1:$X$4910,ROW(D348))</f>
        <v>ATG Antigua and Barbuda</v>
      </c>
      <c r="E348" s="618" t="s">
        <v>2058</v>
      </c>
      <c r="F348" s="549" t="s">
        <v>2059</v>
      </c>
      <c r="G348" s="556" t="s">
        <v>2060</v>
      </c>
      <c r="H348" s="549" t="s">
        <v>2061</v>
      </c>
      <c r="I348" s="549" t="s">
        <v>2062</v>
      </c>
      <c r="J348" s="549" t="str">
        <f aca="false">"[pt]"&amp;E348</f>
        <v>[pt]Antigua und Barbuda</v>
      </c>
      <c r="K348" s="549" t="str">
        <f aca="false">"[gr]"&amp;E348</f>
        <v>[gr]Antigua und Barbuda</v>
      </c>
      <c r="L348" s="619" t="s">
        <v>286</v>
      </c>
      <c r="M348" s="550" t="str">
        <f aca="false">IF(L348=A348,"","nix")</f>
        <v/>
      </c>
    </row>
    <row r="349" customFormat="false" ht="15.75" hidden="false" customHeight="true" outlineLevel="0" collapsed="false">
      <c r="A349" s="617" t="s">
        <v>288</v>
      </c>
      <c r="B349" s="569" t="s">
        <v>2063</v>
      </c>
      <c r="C349" s="617" t="s">
        <v>2064</v>
      </c>
      <c r="D349" s="552" t="str">
        <f aca="false">A349&amp;" "&amp;HLOOKUP($C$1,$E$1:$X$4910,ROW(D349))</f>
        <v>AUS Australia</v>
      </c>
      <c r="E349" s="618" t="s">
        <v>2065</v>
      </c>
      <c r="F349" s="549" t="s">
        <v>2066</v>
      </c>
      <c r="G349" s="556" t="s">
        <v>2066</v>
      </c>
      <c r="H349" s="549" t="s">
        <v>287</v>
      </c>
      <c r="I349" s="549" t="s">
        <v>2067</v>
      </c>
      <c r="J349" s="549" t="str">
        <f aca="false">"[pt]"&amp;E349</f>
        <v>[pt]Australien</v>
      </c>
      <c r="K349" s="549" t="str">
        <f aca="false">"[gr]"&amp;E349</f>
        <v>[gr]Australien</v>
      </c>
      <c r="L349" s="619" t="s">
        <v>288</v>
      </c>
      <c r="M349" s="550" t="str">
        <f aca="false">IF(L349=A349,"","nix")</f>
        <v/>
      </c>
    </row>
    <row r="350" customFormat="false" ht="15.75" hidden="false" customHeight="true" outlineLevel="0" collapsed="false">
      <c r="A350" s="617" t="s">
        <v>290</v>
      </c>
      <c r="B350" s="569" t="s">
        <v>2068</v>
      </c>
      <c r="C350" s="617" t="s">
        <v>2069</v>
      </c>
      <c r="D350" s="552" t="str">
        <f aca="false">A350&amp;" "&amp;HLOOKUP($C$1,$E$1:$X$4910,ROW(D350))</f>
        <v>AUT Austria</v>
      </c>
      <c r="E350" s="618" t="s">
        <v>2070</v>
      </c>
      <c r="F350" s="549" t="s">
        <v>2071</v>
      </c>
      <c r="G350" s="556" t="s">
        <v>2071</v>
      </c>
      <c r="H350" s="549" t="s">
        <v>289</v>
      </c>
      <c r="I350" s="549" t="s">
        <v>2072</v>
      </c>
      <c r="J350" s="549" t="str">
        <f aca="false">"[pt]"&amp;E350</f>
        <v>[pt]Österreich</v>
      </c>
      <c r="K350" s="549" t="str">
        <f aca="false">"[gr]"&amp;E350</f>
        <v>[gr]Österreich</v>
      </c>
      <c r="L350" s="619" t="s">
        <v>290</v>
      </c>
      <c r="M350" s="550" t="str">
        <f aca="false">IF(L350=A350,"","nix")</f>
        <v/>
      </c>
    </row>
    <row r="351" customFormat="false" ht="15.75" hidden="false" customHeight="true" outlineLevel="0" collapsed="false">
      <c r="A351" s="617" t="s">
        <v>292</v>
      </c>
      <c r="B351" s="569" t="s">
        <v>2073</v>
      </c>
      <c r="C351" s="617" t="s">
        <v>2074</v>
      </c>
      <c r="D351" s="552" t="str">
        <f aca="false">A351&amp;" "&amp;HLOOKUP($C$1,$E$1:$X$4910,ROW(D351))</f>
        <v>AZE Azerbaijan</v>
      </c>
      <c r="E351" s="618" t="s">
        <v>2075</v>
      </c>
      <c r="F351" s="549" t="s">
        <v>2076</v>
      </c>
      <c r="G351" s="556" t="s">
        <v>2077</v>
      </c>
      <c r="H351" s="549" t="s">
        <v>2078</v>
      </c>
      <c r="I351" s="549" t="s">
        <v>2079</v>
      </c>
      <c r="J351" s="549" t="str">
        <f aca="false">"[pt]"&amp;E351</f>
        <v>[pt]Aserbaidschan</v>
      </c>
      <c r="K351" s="549" t="str">
        <f aca="false">"[gr]"&amp;E351</f>
        <v>[gr]Aserbaidschan</v>
      </c>
      <c r="L351" s="619" t="s">
        <v>292</v>
      </c>
      <c r="M351" s="550" t="str">
        <f aca="false">IF(L351=A351,"","nix")</f>
        <v/>
      </c>
    </row>
    <row r="352" customFormat="false" ht="15.75" hidden="false" customHeight="true" outlineLevel="0" collapsed="false">
      <c r="A352" s="617" t="s">
        <v>294</v>
      </c>
      <c r="B352" s="569" t="s">
        <v>2080</v>
      </c>
      <c r="C352" s="617" t="s">
        <v>2081</v>
      </c>
      <c r="D352" s="552" t="str">
        <f aca="false">A352&amp;" "&amp;HLOOKUP($C$1,$E$1:$X$4910,ROW(D352))</f>
        <v>BDI Burundi</v>
      </c>
      <c r="E352" s="618" t="s">
        <v>293</v>
      </c>
      <c r="F352" s="549" t="s">
        <v>2082</v>
      </c>
      <c r="G352" s="556" t="s">
        <v>2082</v>
      </c>
      <c r="H352" s="549" t="s">
        <v>293</v>
      </c>
      <c r="I352" s="549" t="s">
        <v>293</v>
      </c>
      <c r="J352" s="549" t="str">
        <f aca="false">"[pt]"&amp;E352</f>
        <v>[pt]Burundi</v>
      </c>
      <c r="K352" s="549" t="str">
        <f aca="false">"[gr]"&amp;E352</f>
        <v>[gr]Burundi</v>
      </c>
      <c r="L352" s="619" t="s">
        <v>294</v>
      </c>
      <c r="M352" s="550" t="str">
        <f aca="false">IF(L352=A352,"","nix")</f>
        <v/>
      </c>
    </row>
    <row r="353" customFormat="false" ht="15.75" hidden="false" customHeight="true" outlineLevel="0" collapsed="false">
      <c r="A353" s="617" t="s">
        <v>296</v>
      </c>
      <c r="B353" s="569" t="s">
        <v>2083</v>
      </c>
      <c r="C353" s="617" t="s">
        <v>2084</v>
      </c>
      <c r="D353" s="552" t="str">
        <f aca="false">A353&amp;" "&amp;HLOOKUP($C$1,$E$1:$X$4910,ROW(D353))</f>
        <v>BEL Belgium</v>
      </c>
      <c r="E353" s="618" t="s">
        <v>2085</v>
      </c>
      <c r="F353" s="549" t="s">
        <v>2086</v>
      </c>
      <c r="G353" s="556" t="s">
        <v>2087</v>
      </c>
      <c r="H353" s="549" t="s">
        <v>2088</v>
      </c>
      <c r="I353" s="549" t="s">
        <v>2089</v>
      </c>
      <c r="J353" s="549" t="str">
        <f aca="false">"[pt]"&amp;E353</f>
        <v>[pt]Belgien</v>
      </c>
      <c r="K353" s="549" t="str">
        <f aca="false">"[gr]"&amp;E353</f>
        <v>[gr]Belgien</v>
      </c>
      <c r="L353" s="619" t="s">
        <v>296</v>
      </c>
      <c r="M353" s="550" t="str">
        <f aca="false">IF(L353=A353,"","nix")</f>
        <v/>
      </c>
    </row>
    <row r="354" customFormat="false" ht="15.75" hidden="false" customHeight="true" outlineLevel="0" collapsed="false">
      <c r="A354" s="617" t="s">
        <v>298</v>
      </c>
      <c r="B354" s="569" t="s">
        <v>2090</v>
      </c>
      <c r="C354" s="617" t="s">
        <v>2091</v>
      </c>
      <c r="D354" s="552" t="str">
        <f aca="false">A354&amp;" "&amp;HLOOKUP($C$1,$E$1:$X$4910,ROW(D354))</f>
        <v>BEN Benin</v>
      </c>
      <c r="E354" s="618" t="s">
        <v>297</v>
      </c>
      <c r="F354" s="549" t="s">
        <v>2092</v>
      </c>
      <c r="G354" s="556" t="s">
        <v>2092</v>
      </c>
      <c r="H354" s="549" t="s">
        <v>2093</v>
      </c>
      <c r="I354" s="549" t="s">
        <v>2094</v>
      </c>
      <c r="J354" s="549" t="str">
        <f aca="false">"[pt]"&amp;E354</f>
        <v>[pt]Benin</v>
      </c>
      <c r="K354" s="549" t="str">
        <f aca="false">"[gr]"&amp;E354</f>
        <v>[gr]Benin</v>
      </c>
      <c r="L354" s="619" t="s">
        <v>298</v>
      </c>
      <c r="M354" s="550" t="str">
        <f aca="false">IF(L354=A354,"","nix")</f>
        <v/>
      </c>
    </row>
    <row r="355" customFormat="false" ht="15.75" hidden="false" customHeight="true" outlineLevel="0" collapsed="false">
      <c r="A355" s="617" t="s">
        <v>300</v>
      </c>
      <c r="B355" s="569" t="s">
        <v>2095</v>
      </c>
      <c r="C355" s="617" t="s">
        <v>2096</v>
      </c>
      <c r="D355" s="552" t="str">
        <f aca="false">A355&amp;" "&amp;HLOOKUP($C$1,$E$1:$X$4910,ROW(D355))</f>
        <v>BFA Burkina Faso</v>
      </c>
      <c r="E355" s="618" t="s">
        <v>299</v>
      </c>
      <c r="F355" s="549" t="s">
        <v>2097</v>
      </c>
      <c r="G355" s="556" t="s">
        <v>2097</v>
      </c>
      <c r="H355" s="549" t="s">
        <v>299</v>
      </c>
      <c r="I355" s="549" t="s">
        <v>299</v>
      </c>
      <c r="J355" s="549" t="str">
        <f aca="false">"[pt]"&amp;E355</f>
        <v>[pt]Burkina Faso</v>
      </c>
      <c r="K355" s="549" t="str">
        <f aca="false">"[gr]"&amp;E355</f>
        <v>[gr]Burkina Faso</v>
      </c>
      <c r="L355" s="619" t="s">
        <v>300</v>
      </c>
      <c r="M355" s="550" t="str">
        <f aca="false">IF(L355=A355,"","nix")</f>
        <v/>
      </c>
    </row>
    <row r="356" customFormat="false" ht="15.75" hidden="false" customHeight="true" outlineLevel="0" collapsed="false">
      <c r="A356" s="617" t="s">
        <v>302</v>
      </c>
      <c r="B356" s="569" t="s">
        <v>2098</v>
      </c>
      <c r="C356" s="617" t="s">
        <v>2099</v>
      </c>
      <c r="D356" s="552" t="str">
        <f aca="false">A356&amp;" "&amp;HLOOKUP($C$1,$E$1:$X$4910,ROW(D356))</f>
        <v>BGD Bangladesh</v>
      </c>
      <c r="E356" s="618" t="s">
        <v>2100</v>
      </c>
      <c r="F356" s="549" t="s">
        <v>2101</v>
      </c>
      <c r="G356" s="556" t="s">
        <v>2101</v>
      </c>
      <c r="H356" s="549" t="s">
        <v>2102</v>
      </c>
      <c r="I356" s="549" t="s">
        <v>301</v>
      </c>
      <c r="J356" s="549" t="str">
        <f aca="false">"[pt]"&amp;E356</f>
        <v>[pt]Bangladesch</v>
      </c>
      <c r="K356" s="549" t="str">
        <f aca="false">"[gr]"&amp;E356</f>
        <v>[gr]Bangladesch</v>
      </c>
      <c r="L356" s="619" t="s">
        <v>302</v>
      </c>
      <c r="M356" s="550" t="str">
        <f aca="false">IF(L356=A356,"","nix")</f>
        <v/>
      </c>
    </row>
    <row r="357" customFormat="false" ht="15.75" hidden="false" customHeight="true" outlineLevel="0" collapsed="false">
      <c r="A357" s="617" t="s">
        <v>304</v>
      </c>
      <c r="B357" s="569" t="s">
        <v>2103</v>
      </c>
      <c r="C357" s="617" t="s">
        <v>2104</v>
      </c>
      <c r="D357" s="552" t="str">
        <f aca="false">A357&amp;" "&amp;HLOOKUP($C$1,$E$1:$X$4910,ROW(D357))</f>
        <v>BGR Bulgaria</v>
      </c>
      <c r="E357" s="618" t="s">
        <v>2105</v>
      </c>
      <c r="F357" s="549" t="s">
        <v>2106</v>
      </c>
      <c r="G357" s="556" t="s">
        <v>2106</v>
      </c>
      <c r="H357" s="549" t="s">
        <v>303</v>
      </c>
      <c r="I357" s="549" t="s">
        <v>2107</v>
      </c>
      <c r="J357" s="549" t="str">
        <f aca="false">"[pt]"&amp;E357</f>
        <v>[pt]Bulgarien</v>
      </c>
      <c r="K357" s="549" t="str">
        <f aca="false">"[gr]"&amp;E357</f>
        <v>[gr]Bulgarien</v>
      </c>
      <c r="L357" s="619" t="s">
        <v>304</v>
      </c>
      <c r="M357" s="550" t="str">
        <f aca="false">IF(L357=A357,"","nix")</f>
        <v/>
      </c>
    </row>
    <row r="358" customFormat="false" ht="15.75" hidden="false" customHeight="true" outlineLevel="0" collapsed="false">
      <c r="A358" s="617" t="s">
        <v>306</v>
      </c>
      <c r="B358" s="569" t="s">
        <v>2108</v>
      </c>
      <c r="C358" s="617" t="s">
        <v>2109</v>
      </c>
      <c r="D358" s="552" t="str">
        <f aca="false">A358&amp;" "&amp;HLOOKUP($C$1,$E$1:$X$4910,ROW(D358))</f>
        <v>BHR Bahrain</v>
      </c>
      <c r="E358" s="618" t="s">
        <v>305</v>
      </c>
      <c r="F358" s="549" t="s">
        <v>2110</v>
      </c>
      <c r="G358" s="556" t="s">
        <v>2110</v>
      </c>
      <c r="H358" s="549" t="s">
        <v>2111</v>
      </c>
      <c r="I358" s="549" t="s">
        <v>2112</v>
      </c>
      <c r="J358" s="549" t="str">
        <f aca="false">"[pt]"&amp;E358</f>
        <v>[pt]Bahrain</v>
      </c>
      <c r="K358" s="549" t="str">
        <f aca="false">"[gr]"&amp;E358</f>
        <v>[gr]Bahrain</v>
      </c>
      <c r="L358" s="619" t="s">
        <v>306</v>
      </c>
      <c r="M358" s="550" t="str">
        <f aca="false">IF(L358=A358,"","nix")</f>
        <v/>
      </c>
    </row>
    <row r="359" customFormat="false" ht="15.75" hidden="false" customHeight="true" outlineLevel="0" collapsed="false">
      <c r="A359" s="617" t="s">
        <v>308</v>
      </c>
      <c r="B359" s="569" t="s">
        <v>2113</v>
      </c>
      <c r="C359" s="617" t="s">
        <v>2114</v>
      </c>
      <c r="D359" s="552" t="str">
        <f aca="false">A359&amp;" "&amp;HLOOKUP($C$1,$E$1:$X$4910,ROW(D359))</f>
        <v>BHS Bahamas</v>
      </c>
      <c r="E359" s="618" t="s">
        <v>2115</v>
      </c>
      <c r="F359" s="549" t="s">
        <v>2116</v>
      </c>
      <c r="G359" s="556" t="s">
        <v>2116</v>
      </c>
      <c r="H359" s="549" t="s">
        <v>2115</v>
      </c>
      <c r="I359" s="549" t="s">
        <v>2115</v>
      </c>
      <c r="J359" s="549" t="str">
        <f aca="false">"[pt]"&amp;E359</f>
        <v>[pt]Bahamas</v>
      </c>
      <c r="K359" s="549" t="str">
        <f aca="false">"[gr]"&amp;E359</f>
        <v>[gr]Bahamas</v>
      </c>
      <c r="L359" s="619" t="s">
        <v>308</v>
      </c>
      <c r="M359" s="550" t="str">
        <f aca="false">IF(L359=A359,"","nix")</f>
        <v/>
      </c>
    </row>
    <row r="360" customFormat="false" ht="15.75" hidden="false" customHeight="true" outlineLevel="0" collapsed="false">
      <c r="A360" s="617" t="s">
        <v>310</v>
      </c>
      <c r="B360" s="569" t="s">
        <v>2117</v>
      </c>
      <c r="C360" s="617" t="s">
        <v>2118</v>
      </c>
      <c r="D360" s="552" t="str">
        <f aca="false">A360&amp;" "&amp;HLOOKUP($C$1,$E$1:$X$4910,ROW(D360))</f>
        <v>BIH Bosnia and Herzegovina</v>
      </c>
      <c r="E360" s="618" t="s">
        <v>2119</v>
      </c>
      <c r="F360" s="549" t="s">
        <v>2120</v>
      </c>
      <c r="G360" s="556" t="s">
        <v>2121</v>
      </c>
      <c r="H360" s="549" t="s">
        <v>2122</v>
      </c>
      <c r="I360" s="549" t="s">
        <v>2123</v>
      </c>
      <c r="J360" s="549" t="str">
        <f aca="false">"[pt]"&amp;E360</f>
        <v>[pt]Bosnien und Herzegowina</v>
      </c>
      <c r="K360" s="549" t="str">
        <f aca="false">"[gr]"&amp;E360</f>
        <v>[gr]Bosnien und Herzegowina</v>
      </c>
      <c r="L360" s="619" t="s">
        <v>310</v>
      </c>
      <c r="M360" s="550" t="str">
        <f aca="false">IF(L360=A360,"","nix")</f>
        <v/>
      </c>
    </row>
    <row r="361" customFormat="false" ht="15.75" hidden="false" customHeight="true" outlineLevel="0" collapsed="false">
      <c r="A361" s="617" t="s">
        <v>312</v>
      </c>
      <c r="B361" s="569" t="s">
        <v>2124</v>
      </c>
      <c r="C361" s="617" t="s">
        <v>2125</v>
      </c>
      <c r="D361" s="552" t="str">
        <f aca="false">A361&amp;" "&amp;HLOOKUP($C$1,$E$1:$X$4910,ROW(D361))</f>
        <v>BLR Belarus</v>
      </c>
      <c r="E361" s="618" t="s">
        <v>311</v>
      </c>
      <c r="F361" s="549" t="s">
        <v>2126</v>
      </c>
      <c r="G361" s="556" t="s">
        <v>2127</v>
      </c>
      <c r="H361" s="549" t="s">
        <v>2128</v>
      </c>
      <c r="I361" s="549" t="s">
        <v>2129</v>
      </c>
      <c r="J361" s="549" t="str">
        <f aca="false">"[pt]"&amp;E361</f>
        <v>[pt]Belarus</v>
      </c>
      <c r="K361" s="549" t="str">
        <f aca="false">"[gr]"&amp;E361</f>
        <v>[gr]Belarus</v>
      </c>
      <c r="L361" s="619" t="s">
        <v>312</v>
      </c>
      <c r="M361" s="550" t="str">
        <f aca="false">IF(L361=A361,"","nix")</f>
        <v/>
      </c>
    </row>
    <row r="362" customFormat="false" ht="15.75" hidden="false" customHeight="true" outlineLevel="0" collapsed="false">
      <c r="A362" s="617" t="s">
        <v>314</v>
      </c>
      <c r="B362" s="569" t="s">
        <v>2130</v>
      </c>
      <c r="C362" s="617" t="s">
        <v>2131</v>
      </c>
      <c r="D362" s="552" t="str">
        <f aca="false">A362&amp;" "&amp;HLOOKUP($C$1,$E$1:$X$4910,ROW(D362))</f>
        <v>BLZ Belize</v>
      </c>
      <c r="E362" s="618" t="s">
        <v>313</v>
      </c>
      <c r="F362" s="549" t="s">
        <v>2132</v>
      </c>
      <c r="G362" s="556" t="s">
        <v>2132</v>
      </c>
      <c r="H362" s="549" t="s">
        <v>2133</v>
      </c>
      <c r="I362" s="549" t="s">
        <v>313</v>
      </c>
      <c r="J362" s="549" t="str">
        <f aca="false">"[pt]"&amp;E362</f>
        <v>[pt]Belize</v>
      </c>
      <c r="K362" s="549" t="str">
        <f aca="false">"[gr]"&amp;E362</f>
        <v>[gr]Belize</v>
      </c>
      <c r="L362" s="619" t="s">
        <v>314</v>
      </c>
      <c r="M362" s="550" t="str">
        <f aca="false">IF(L362=A362,"","nix")</f>
        <v/>
      </c>
    </row>
    <row r="363" customFormat="false" ht="15.75" hidden="false" customHeight="true" outlineLevel="0" collapsed="false">
      <c r="A363" s="617" t="s">
        <v>316</v>
      </c>
      <c r="B363" s="569" t="s">
        <v>2134</v>
      </c>
      <c r="C363" s="617" t="s">
        <v>2135</v>
      </c>
      <c r="D363" s="552" t="str">
        <f aca="false">A363&amp;" "&amp;HLOOKUP($C$1,$E$1:$X$4910,ROW(D363))</f>
        <v>BMU Bermuda</v>
      </c>
      <c r="E363" s="618" t="s">
        <v>315</v>
      </c>
      <c r="F363" s="549" t="s">
        <v>2136</v>
      </c>
      <c r="G363" s="556" t="s">
        <v>2136</v>
      </c>
      <c r="H363" s="549" t="s">
        <v>2137</v>
      </c>
      <c r="I363" s="549" t="s">
        <v>2138</v>
      </c>
      <c r="J363" s="549" t="str">
        <f aca="false">"[pt]"&amp;E363</f>
        <v>[pt]Bermuda</v>
      </c>
      <c r="K363" s="549" t="str">
        <f aca="false">"[gr]"&amp;E363</f>
        <v>[gr]Bermuda</v>
      </c>
      <c r="L363" s="619" t="s">
        <v>316</v>
      </c>
      <c r="M363" s="550" t="str">
        <f aca="false">IF(L363=A363,"","nix")</f>
        <v/>
      </c>
    </row>
    <row r="364" customFormat="false" ht="15.75" hidden="false" customHeight="true" outlineLevel="0" collapsed="false">
      <c r="A364" s="617" t="s">
        <v>318</v>
      </c>
      <c r="B364" s="569" t="s">
        <v>2139</v>
      </c>
      <c r="C364" s="617" t="s">
        <v>2140</v>
      </c>
      <c r="D364" s="552" t="str">
        <f aca="false">A364&amp;" "&amp;HLOOKUP($C$1,$E$1:$X$4910,ROW(D364))</f>
        <v>BOL Bolivia, Plurinational State of</v>
      </c>
      <c r="E364" s="618" t="s">
        <v>2141</v>
      </c>
      <c r="F364" s="549" t="s">
        <v>2142</v>
      </c>
      <c r="G364" s="556" t="s">
        <v>2143</v>
      </c>
      <c r="H364" s="549" t="s">
        <v>317</v>
      </c>
      <c r="I364" s="549" t="s">
        <v>2144</v>
      </c>
      <c r="J364" s="549" t="str">
        <f aca="false">"[pt]"&amp;E364</f>
        <v>[pt]Bolivien</v>
      </c>
      <c r="K364" s="549" t="str">
        <f aca="false">"[gr]"&amp;E364</f>
        <v>[gr]Bolivien</v>
      </c>
      <c r="L364" s="619" t="s">
        <v>318</v>
      </c>
      <c r="M364" s="550" t="str">
        <f aca="false">IF(L364=A364,"","nix")</f>
        <v/>
      </c>
    </row>
    <row r="365" customFormat="false" ht="15.75" hidden="false" customHeight="true" outlineLevel="0" collapsed="false">
      <c r="A365" s="617" t="s">
        <v>320</v>
      </c>
      <c r="B365" s="569" t="s">
        <v>2145</v>
      </c>
      <c r="C365" s="617" t="s">
        <v>2146</v>
      </c>
      <c r="D365" s="552" t="str">
        <f aca="false">A365&amp;" "&amp;HLOOKUP($C$1,$E$1:$X$4910,ROW(D365))</f>
        <v>BRA Brazil</v>
      </c>
      <c r="E365" s="618" t="s">
        <v>2147</v>
      </c>
      <c r="F365" s="549" t="s">
        <v>2148</v>
      </c>
      <c r="G365" s="556" t="s">
        <v>2149</v>
      </c>
      <c r="H365" s="549" t="s">
        <v>2150</v>
      </c>
      <c r="I365" s="549" t="s">
        <v>2151</v>
      </c>
      <c r="J365" s="549" t="str">
        <f aca="false">"[pt]"&amp;E365</f>
        <v>[pt]Brasilien</v>
      </c>
      <c r="K365" s="549" t="str">
        <f aca="false">"[gr]"&amp;E365</f>
        <v>[gr]Brasilien</v>
      </c>
      <c r="L365" s="619" t="s">
        <v>320</v>
      </c>
      <c r="M365" s="550" t="str">
        <f aca="false">IF(L365=A365,"","nix")</f>
        <v/>
      </c>
    </row>
    <row r="366" customFormat="false" ht="15.75" hidden="false" customHeight="true" outlineLevel="0" collapsed="false">
      <c r="A366" s="617" t="s">
        <v>322</v>
      </c>
      <c r="B366" s="569" t="s">
        <v>2152</v>
      </c>
      <c r="C366" s="617" t="s">
        <v>2153</v>
      </c>
      <c r="D366" s="552" t="str">
        <f aca="false">A366&amp;" "&amp;HLOOKUP($C$1,$E$1:$X$4910,ROW(D366))</f>
        <v>BRB Barbados</v>
      </c>
      <c r="E366" s="618" t="s">
        <v>321</v>
      </c>
      <c r="F366" s="549" t="s">
        <v>2154</v>
      </c>
      <c r="G366" s="556" t="s">
        <v>2154</v>
      </c>
      <c r="H366" s="549" t="s">
        <v>321</v>
      </c>
      <c r="I366" s="549" t="s">
        <v>2155</v>
      </c>
      <c r="J366" s="549" t="str">
        <f aca="false">"[pt]"&amp;E366</f>
        <v>[pt]Barbados</v>
      </c>
      <c r="K366" s="549" t="str">
        <f aca="false">"[gr]"&amp;E366</f>
        <v>[gr]Barbados</v>
      </c>
      <c r="L366" s="619" t="s">
        <v>322</v>
      </c>
      <c r="M366" s="550" t="str">
        <f aca="false">IF(L366=A366,"","nix")</f>
        <v/>
      </c>
    </row>
    <row r="367" customFormat="false" ht="15.75" hidden="false" customHeight="true" outlineLevel="0" collapsed="false">
      <c r="A367" s="617" t="s">
        <v>324</v>
      </c>
      <c r="B367" s="569" t="s">
        <v>2156</v>
      </c>
      <c r="C367" s="617" t="s">
        <v>2157</v>
      </c>
      <c r="D367" s="552" t="str">
        <f aca="false">A367&amp;" "&amp;HLOOKUP($C$1,$E$1:$X$4910,ROW(D367))</f>
        <v>BRN Brunei Darussalam</v>
      </c>
      <c r="E367" s="618" t="s">
        <v>323</v>
      </c>
      <c r="F367" s="549" t="s">
        <v>2158</v>
      </c>
      <c r="G367" s="556" t="s">
        <v>2159</v>
      </c>
      <c r="H367" s="549" t="s">
        <v>2160</v>
      </c>
      <c r="I367" s="549" t="s">
        <v>2161</v>
      </c>
      <c r="J367" s="549" t="str">
        <f aca="false">"[pt]"&amp;E367</f>
        <v>[pt]Brunei Darussalam</v>
      </c>
      <c r="K367" s="549" t="str">
        <f aca="false">"[gr]"&amp;E367</f>
        <v>[gr]Brunei Darussalam</v>
      </c>
      <c r="L367" s="619" t="s">
        <v>324</v>
      </c>
      <c r="M367" s="550" t="str">
        <f aca="false">IF(L367=A367,"","nix")</f>
        <v/>
      </c>
    </row>
    <row r="368" customFormat="false" ht="15.75" hidden="false" customHeight="true" outlineLevel="0" collapsed="false">
      <c r="A368" s="617" t="s">
        <v>326</v>
      </c>
      <c r="B368" s="569" t="s">
        <v>2162</v>
      </c>
      <c r="C368" s="617" t="s">
        <v>2163</v>
      </c>
      <c r="D368" s="552" t="str">
        <f aca="false">A368&amp;" "&amp;HLOOKUP($C$1,$E$1:$X$4910,ROW(D368))</f>
        <v>BTN Bhutan</v>
      </c>
      <c r="E368" s="618" t="s">
        <v>325</v>
      </c>
      <c r="F368" s="549" t="s">
        <v>2164</v>
      </c>
      <c r="G368" s="556" t="s">
        <v>2164</v>
      </c>
      <c r="H368" s="549" t="s">
        <v>2165</v>
      </c>
      <c r="I368" s="549" t="s">
        <v>2166</v>
      </c>
      <c r="J368" s="549" t="str">
        <f aca="false">"[pt]"&amp;E368</f>
        <v>[pt]Bhutan</v>
      </c>
      <c r="K368" s="549" t="str">
        <f aca="false">"[gr]"&amp;E368</f>
        <v>[gr]Bhutan</v>
      </c>
      <c r="L368" s="619" t="s">
        <v>326</v>
      </c>
      <c r="M368" s="550" t="str">
        <f aca="false">IF(L368=A368,"","nix")</f>
        <v/>
      </c>
    </row>
    <row r="369" customFormat="false" ht="15.75" hidden="false" customHeight="true" outlineLevel="0" collapsed="false">
      <c r="A369" s="617" t="s">
        <v>328</v>
      </c>
      <c r="B369" s="569" t="s">
        <v>2167</v>
      </c>
      <c r="C369" s="617" t="s">
        <v>2168</v>
      </c>
      <c r="D369" s="552" t="str">
        <f aca="false">A369&amp;" "&amp;HLOOKUP($C$1,$E$1:$X$4910,ROW(D369))</f>
        <v>BWA Botswana</v>
      </c>
      <c r="E369" s="618" t="s">
        <v>327</v>
      </c>
      <c r="F369" s="549" t="s">
        <v>2169</v>
      </c>
      <c r="G369" s="556" t="s">
        <v>2169</v>
      </c>
      <c r="H369" s="549" t="s">
        <v>2170</v>
      </c>
      <c r="I369" s="549" t="s">
        <v>327</v>
      </c>
      <c r="J369" s="549" t="str">
        <f aca="false">"[pt]"&amp;E369</f>
        <v>[pt]Botswana</v>
      </c>
      <c r="K369" s="549" t="str">
        <f aca="false">"[gr]"&amp;E369</f>
        <v>[gr]Botswana</v>
      </c>
      <c r="L369" s="619" t="s">
        <v>328</v>
      </c>
      <c r="M369" s="550" t="str">
        <f aca="false">IF(L369=A369,"","nix")</f>
        <v/>
      </c>
    </row>
    <row r="370" customFormat="false" ht="15.75" hidden="false" customHeight="true" outlineLevel="0" collapsed="false">
      <c r="A370" s="617" t="s">
        <v>330</v>
      </c>
      <c r="B370" s="569" t="s">
        <v>2171</v>
      </c>
      <c r="C370" s="617" t="s">
        <v>2172</v>
      </c>
      <c r="D370" s="552" t="str">
        <f aca="false">A370&amp;" "&amp;HLOOKUP($C$1,$E$1:$X$4910,ROW(D370))</f>
        <v>CAF Central African Republic</v>
      </c>
      <c r="E370" s="618" t="s">
        <v>2173</v>
      </c>
      <c r="F370" s="549" t="s">
        <v>2174</v>
      </c>
      <c r="G370" s="556" t="s">
        <v>2175</v>
      </c>
      <c r="H370" s="549" t="s">
        <v>2176</v>
      </c>
      <c r="I370" s="549" t="s">
        <v>2177</v>
      </c>
      <c r="J370" s="549" t="str">
        <f aca="false">"[pt]"&amp;E370</f>
        <v>[pt]Zentralafrikanische Republik</v>
      </c>
      <c r="K370" s="549" t="str">
        <f aca="false">"[gr]"&amp;E370</f>
        <v>[gr]Zentralafrikanische Republik</v>
      </c>
      <c r="L370" s="619" t="s">
        <v>330</v>
      </c>
      <c r="M370" s="550" t="str">
        <f aca="false">IF(L370=A370,"","nix")</f>
        <v/>
      </c>
    </row>
    <row r="371" customFormat="false" ht="15.75" hidden="false" customHeight="true" outlineLevel="0" collapsed="false">
      <c r="A371" s="617" t="s">
        <v>332</v>
      </c>
      <c r="B371" s="569" t="s">
        <v>2178</v>
      </c>
      <c r="C371" s="617" t="s">
        <v>2179</v>
      </c>
      <c r="D371" s="552" t="str">
        <f aca="false">A371&amp;" "&amp;HLOOKUP($C$1,$E$1:$X$4910,ROW(D371))</f>
        <v>CAN Canada</v>
      </c>
      <c r="E371" s="618" t="s">
        <v>2180</v>
      </c>
      <c r="F371" s="549" t="s">
        <v>2181</v>
      </c>
      <c r="G371" s="556" t="s">
        <v>2181</v>
      </c>
      <c r="H371" s="549" t="s">
        <v>2182</v>
      </c>
      <c r="I371" s="549" t="s">
        <v>331</v>
      </c>
      <c r="J371" s="549" t="str">
        <f aca="false">"[pt]"&amp;E371</f>
        <v>[pt]Kanada</v>
      </c>
      <c r="K371" s="549" t="str">
        <f aca="false">"[gr]"&amp;E371</f>
        <v>[gr]Kanada</v>
      </c>
      <c r="L371" s="619" t="s">
        <v>332</v>
      </c>
      <c r="M371" s="550" t="str">
        <f aca="false">IF(L371=A371,"","nix")</f>
        <v/>
      </c>
    </row>
    <row r="372" customFormat="false" ht="15.75" hidden="false" customHeight="true" outlineLevel="0" collapsed="false">
      <c r="A372" s="617" t="s">
        <v>334</v>
      </c>
      <c r="B372" s="569" t="s">
        <v>2183</v>
      </c>
      <c r="C372" s="617" t="s">
        <v>2184</v>
      </c>
      <c r="D372" s="552" t="str">
        <f aca="false">A372&amp;" "&amp;HLOOKUP($C$1,$E$1:$X$4910,ROW(D372))</f>
        <v>CHE Switzerland</v>
      </c>
      <c r="E372" s="618" t="s">
        <v>2185</v>
      </c>
      <c r="F372" s="549" t="s">
        <v>2186</v>
      </c>
      <c r="G372" s="556" t="s">
        <v>2187</v>
      </c>
      <c r="H372" s="549" t="s">
        <v>2188</v>
      </c>
      <c r="I372" s="549" t="s">
        <v>2189</v>
      </c>
      <c r="J372" s="549" t="str">
        <f aca="false">"[pt]"&amp;E372</f>
        <v>[pt]Schweiz (Confoederatio Helvetica)</v>
      </c>
      <c r="K372" s="549" t="str">
        <f aca="false">"[gr]"&amp;E372</f>
        <v>[gr]Schweiz (Confoederatio Helvetica)</v>
      </c>
      <c r="L372" s="619" t="s">
        <v>334</v>
      </c>
      <c r="M372" s="550" t="str">
        <f aca="false">IF(L372=A372,"","nix")</f>
        <v/>
      </c>
    </row>
    <row r="373" customFormat="false" ht="15.75" hidden="false" customHeight="true" outlineLevel="0" collapsed="false">
      <c r="A373" s="617" t="s">
        <v>336</v>
      </c>
      <c r="B373" s="569" t="s">
        <v>2190</v>
      </c>
      <c r="C373" s="617" t="s">
        <v>2191</v>
      </c>
      <c r="D373" s="552" t="str">
        <f aca="false">A373&amp;" "&amp;HLOOKUP($C$1,$E$1:$X$4910,ROW(D373))</f>
        <v>CHL Chile</v>
      </c>
      <c r="E373" s="618" t="s">
        <v>335</v>
      </c>
      <c r="F373" s="549" t="s">
        <v>2192</v>
      </c>
      <c r="G373" s="556" t="s">
        <v>2193</v>
      </c>
      <c r="H373" s="549" t="s">
        <v>335</v>
      </c>
      <c r="I373" s="549" t="s">
        <v>2194</v>
      </c>
      <c r="J373" s="549" t="str">
        <f aca="false">"[pt]"&amp;E373</f>
        <v>[pt]Chile</v>
      </c>
      <c r="K373" s="549" t="str">
        <f aca="false">"[gr]"&amp;E373</f>
        <v>[gr]Chile</v>
      </c>
      <c r="L373" s="619" t="s">
        <v>336</v>
      </c>
      <c r="M373" s="550" t="str">
        <f aca="false">IF(L373=A373,"","nix")</f>
        <v/>
      </c>
    </row>
    <row r="374" customFormat="false" ht="15.75" hidden="false" customHeight="true" outlineLevel="0" collapsed="false">
      <c r="A374" s="617" t="s">
        <v>338</v>
      </c>
      <c r="B374" s="569" t="s">
        <v>2195</v>
      </c>
      <c r="C374" s="617" t="s">
        <v>2196</v>
      </c>
      <c r="D374" s="552" t="str">
        <f aca="false">A374&amp;" "&amp;HLOOKUP($C$1,$E$1:$X$4910,ROW(D374))</f>
        <v>CHN China</v>
      </c>
      <c r="E374" s="618" t="s">
        <v>2197</v>
      </c>
      <c r="F374" s="549" t="s">
        <v>2198</v>
      </c>
      <c r="G374" s="556" t="s">
        <v>2199</v>
      </c>
      <c r="H374" s="549" t="s">
        <v>337</v>
      </c>
      <c r="I374" s="549" t="s">
        <v>2200</v>
      </c>
      <c r="J374" s="549" t="str">
        <f aca="false">"[pt]"&amp;E374</f>
        <v>[pt]China, Volksrepublik</v>
      </c>
      <c r="K374" s="549" t="str">
        <f aca="false">"[gr]"&amp;E374</f>
        <v>[gr]China, Volksrepublik</v>
      </c>
      <c r="L374" s="619" t="s">
        <v>338</v>
      </c>
      <c r="M374" s="550" t="str">
        <f aca="false">IF(L374=A374,"","nix")</f>
        <v/>
      </c>
    </row>
    <row r="375" customFormat="false" ht="15.75" hidden="false" customHeight="true" outlineLevel="0" collapsed="false">
      <c r="A375" s="617" t="s">
        <v>340</v>
      </c>
      <c r="B375" s="569" t="s">
        <v>2201</v>
      </c>
      <c r="C375" s="617" t="s">
        <v>2202</v>
      </c>
      <c r="D375" s="552" t="str">
        <f aca="false">A375&amp;" "&amp;HLOOKUP($C$1,$E$1:$X$4910,ROW(D375))</f>
        <v>CIV Côte d'Ivoire</v>
      </c>
      <c r="E375" s="618" t="s">
        <v>2203</v>
      </c>
      <c r="F375" s="549" t="s">
        <v>2204</v>
      </c>
      <c r="G375" s="556" t="s">
        <v>2205</v>
      </c>
      <c r="H375" s="549" t="s">
        <v>2206</v>
      </c>
      <c r="I375" s="549" t="s">
        <v>2207</v>
      </c>
      <c r="J375" s="549" t="str">
        <f aca="false">"[pt]"&amp;E375</f>
        <v>[pt]Côte d’Ivoire (Elfenbeinküste)</v>
      </c>
      <c r="K375" s="549" t="str">
        <f aca="false">"[gr]"&amp;E375</f>
        <v>[gr]Côte d’Ivoire (Elfenbeinküste)</v>
      </c>
      <c r="L375" s="619" t="s">
        <v>340</v>
      </c>
      <c r="M375" s="550" t="str">
        <f aca="false">IF(L375=A375,"","nix")</f>
        <v/>
      </c>
    </row>
    <row r="376" customFormat="false" ht="15.75" hidden="false" customHeight="true" outlineLevel="0" collapsed="false">
      <c r="A376" s="617" t="s">
        <v>342</v>
      </c>
      <c r="B376" s="569" t="s">
        <v>2208</v>
      </c>
      <c r="C376" s="617" t="s">
        <v>2209</v>
      </c>
      <c r="D376" s="552" t="str">
        <f aca="false">A376&amp;" "&amp;HLOOKUP($C$1,$E$1:$X$4910,ROW(D376))</f>
        <v>CMR Cameroon</v>
      </c>
      <c r="E376" s="618" t="s">
        <v>2210</v>
      </c>
      <c r="F376" s="549" t="s">
        <v>2211</v>
      </c>
      <c r="G376" s="556" t="s">
        <v>2212</v>
      </c>
      <c r="H376" s="549" t="s">
        <v>2213</v>
      </c>
      <c r="I376" s="549" t="s">
        <v>2214</v>
      </c>
      <c r="J376" s="549" t="str">
        <f aca="false">"[pt]"&amp;E376</f>
        <v>[pt]Kamerun</v>
      </c>
      <c r="K376" s="549" t="str">
        <f aca="false">"[gr]"&amp;E376</f>
        <v>[gr]Kamerun</v>
      </c>
      <c r="L376" s="619" t="s">
        <v>342</v>
      </c>
      <c r="M376" s="550" t="str">
        <f aca="false">IF(L376=A376,"","nix")</f>
        <v/>
      </c>
    </row>
    <row r="377" customFormat="false" ht="15.75" hidden="false" customHeight="true" outlineLevel="0" collapsed="false">
      <c r="A377" s="617" t="s">
        <v>344</v>
      </c>
      <c r="B377" s="569" t="s">
        <v>2215</v>
      </c>
      <c r="C377" s="617" t="s">
        <v>2216</v>
      </c>
      <c r="D377" s="552" t="str">
        <f aca="false">A377&amp;" "&amp;HLOOKUP($C$1,$E$1:$X$4910,ROW(D377))</f>
        <v>COD Congo, the Democratic Republic of the</v>
      </c>
      <c r="E377" s="618" t="s">
        <v>2217</v>
      </c>
      <c r="F377" s="549" t="s">
        <v>2218</v>
      </c>
      <c r="G377" s="556" t="s">
        <v>2219</v>
      </c>
      <c r="H377" s="549" t="s">
        <v>2220</v>
      </c>
      <c r="I377" s="549" t="s">
        <v>2221</v>
      </c>
      <c r="J377" s="549" t="str">
        <f aca="false">"[pt]"&amp;E377</f>
        <v>[pt]Kongo, Demokratische Republik (ehem. Zaire)</v>
      </c>
      <c r="K377" s="549" t="str">
        <f aca="false">"[gr]"&amp;E377</f>
        <v>[gr]Kongo, Demokratische Republik (ehem. Zaire)</v>
      </c>
      <c r="L377" s="619" t="s">
        <v>344</v>
      </c>
      <c r="M377" s="550" t="str">
        <f aca="false">IF(L377=A377,"","nix")</f>
        <v/>
      </c>
    </row>
    <row r="378" customFormat="false" ht="15.75" hidden="false" customHeight="true" outlineLevel="0" collapsed="false">
      <c r="A378" s="617" t="s">
        <v>346</v>
      </c>
      <c r="B378" s="569" t="s">
        <v>2222</v>
      </c>
      <c r="C378" s="617" t="s">
        <v>2223</v>
      </c>
      <c r="D378" s="552" t="str">
        <f aca="false">A378&amp;" "&amp;HLOOKUP($C$1,$E$1:$X$4910,ROW(D378))</f>
        <v>COG Congo</v>
      </c>
      <c r="E378" s="618" t="s">
        <v>2224</v>
      </c>
      <c r="F378" s="549" t="s">
        <v>2225</v>
      </c>
      <c r="G378" s="556" t="s">
        <v>2226</v>
      </c>
      <c r="H378" s="549" t="s">
        <v>2227</v>
      </c>
      <c r="I378" s="549" t="s">
        <v>2228</v>
      </c>
      <c r="J378" s="549" t="str">
        <f aca="false">"[pt]"&amp;E378</f>
        <v>[pt]Republik Kongo</v>
      </c>
      <c r="K378" s="549" t="str">
        <f aca="false">"[gr]"&amp;E378</f>
        <v>[gr]Republik Kongo</v>
      </c>
      <c r="L378" s="619" t="s">
        <v>346</v>
      </c>
      <c r="M378" s="550" t="str">
        <f aca="false">IF(L378=A378,"","nix")</f>
        <v/>
      </c>
    </row>
    <row r="379" customFormat="false" ht="15.75" hidden="false" customHeight="true" outlineLevel="0" collapsed="false">
      <c r="A379" s="617" t="s">
        <v>348</v>
      </c>
      <c r="B379" s="569" t="s">
        <v>2229</v>
      </c>
      <c r="C379" s="617" t="s">
        <v>2230</v>
      </c>
      <c r="D379" s="552" t="str">
        <f aca="false">A379&amp;" "&amp;HLOOKUP($C$1,$E$1:$X$4910,ROW(D379))</f>
        <v>COL Colombia</v>
      </c>
      <c r="E379" s="618" t="s">
        <v>2231</v>
      </c>
      <c r="F379" s="549" t="s">
        <v>2232</v>
      </c>
      <c r="G379" s="556" t="s">
        <v>2232</v>
      </c>
      <c r="H379" s="549" t="s">
        <v>347</v>
      </c>
      <c r="I379" s="549" t="s">
        <v>2233</v>
      </c>
      <c r="J379" s="549" t="str">
        <f aca="false">"[pt]"&amp;E379</f>
        <v>[pt]Kolumbien</v>
      </c>
      <c r="K379" s="549" t="str">
        <f aca="false">"[gr]"&amp;E379</f>
        <v>[gr]Kolumbien</v>
      </c>
      <c r="L379" s="619" t="s">
        <v>348</v>
      </c>
      <c r="M379" s="550" t="str">
        <f aca="false">IF(L379=A379,"","nix")</f>
        <v/>
      </c>
    </row>
    <row r="380" customFormat="false" ht="15.75" hidden="false" customHeight="true" outlineLevel="0" collapsed="false">
      <c r="A380" s="617" t="s">
        <v>350</v>
      </c>
      <c r="B380" s="569" t="s">
        <v>2234</v>
      </c>
      <c r="C380" s="617" t="s">
        <v>2235</v>
      </c>
      <c r="D380" s="552" t="str">
        <f aca="false">A380&amp;" "&amp;HLOOKUP($C$1,$E$1:$X$4910,ROW(D380))</f>
        <v>COM Comoros</v>
      </c>
      <c r="E380" s="618" t="s">
        <v>2236</v>
      </c>
      <c r="F380" s="549" t="s">
        <v>2237</v>
      </c>
      <c r="G380" s="556" t="s">
        <v>2238</v>
      </c>
      <c r="H380" s="549" t="s">
        <v>2239</v>
      </c>
      <c r="I380" s="549" t="s">
        <v>2240</v>
      </c>
      <c r="J380" s="549" t="str">
        <f aca="false">"[pt]"&amp;E380</f>
        <v>[pt]Komoren</v>
      </c>
      <c r="K380" s="549" t="str">
        <f aca="false">"[gr]"&amp;E380</f>
        <v>[gr]Komoren</v>
      </c>
      <c r="L380" s="619" t="s">
        <v>350</v>
      </c>
      <c r="M380" s="550" t="str">
        <f aca="false">IF(L380=A380,"","nix")</f>
        <v/>
      </c>
    </row>
    <row r="381" customFormat="false" ht="15.75" hidden="false" customHeight="true" outlineLevel="0" collapsed="false">
      <c r="A381" s="617" t="s">
        <v>352</v>
      </c>
      <c r="B381" s="569" t="s">
        <v>2241</v>
      </c>
      <c r="C381" s="617" t="s">
        <v>2242</v>
      </c>
      <c r="D381" s="552" t="str">
        <f aca="false">A381&amp;" "&amp;HLOOKUP($C$1,$E$1:$X$4910,ROW(D381))</f>
        <v>CPV Cape Verde</v>
      </c>
      <c r="E381" s="618" t="s">
        <v>2243</v>
      </c>
      <c r="F381" s="549" t="s">
        <v>2244</v>
      </c>
      <c r="G381" s="556" t="s">
        <v>2245</v>
      </c>
      <c r="H381" s="549" t="s">
        <v>351</v>
      </c>
      <c r="I381" s="549" t="s">
        <v>2246</v>
      </c>
      <c r="J381" s="549" t="str">
        <f aca="false">"[pt]"&amp;E381</f>
        <v>[pt]Kap Verde</v>
      </c>
      <c r="K381" s="549" t="str">
        <f aca="false">"[gr]"&amp;E381</f>
        <v>[gr]Kap Verde</v>
      </c>
      <c r="L381" s="619" t="s">
        <v>352</v>
      </c>
      <c r="M381" s="550" t="str">
        <f aca="false">IF(L381=A381,"","nix")</f>
        <v/>
      </c>
    </row>
    <row r="382" customFormat="false" ht="15.75" hidden="false" customHeight="true" outlineLevel="0" collapsed="false">
      <c r="A382" s="617" t="s">
        <v>354</v>
      </c>
      <c r="B382" s="569" t="s">
        <v>2247</v>
      </c>
      <c r="C382" s="617" t="s">
        <v>2248</v>
      </c>
      <c r="D382" s="552" t="str">
        <f aca="false">A382&amp;" "&amp;HLOOKUP($C$1,$E$1:$X$4910,ROW(D382))</f>
        <v>CRI Costa Rica</v>
      </c>
      <c r="E382" s="618" t="s">
        <v>353</v>
      </c>
      <c r="F382" s="549" t="s">
        <v>2249</v>
      </c>
      <c r="G382" s="556" t="s">
        <v>2249</v>
      </c>
      <c r="H382" s="549" t="s">
        <v>353</v>
      </c>
      <c r="I382" s="549" t="s">
        <v>353</v>
      </c>
      <c r="J382" s="549" t="str">
        <f aca="false">"[pt]"&amp;E382</f>
        <v>[pt]Costa Rica</v>
      </c>
      <c r="K382" s="549" t="str">
        <f aca="false">"[gr]"&amp;E382</f>
        <v>[gr]Costa Rica</v>
      </c>
      <c r="L382" s="619" t="s">
        <v>354</v>
      </c>
      <c r="M382" s="550" t="str">
        <f aca="false">IF(L382=A382,"","nix")</f>
        <v/>
      </c>
    </row>
    <row r="383" customFormat="false" ht="15.75" hidden="false" customHeight="true" outlineLevel="0" collapsed="false">
      <c r="A383" s="617" t="s">
        <v>356</v>
      </c>
      <c r="B383" s="569" t="s">
        <v>2250</v>
      </c>
      <c r="C383" s="617" t="s">
        <v>2251</v>
      </c>
      <c r="D383" s="552" t="str">
        <f aca="false">A383&amp;" "&amp;HLOOKUP($C$1,$E$1:$X$4910,ROW(D383))</f>
        <v>CUB Cuba</v>
      </c>
      <c r="E383" s="618" t="s">
        <v>2252</v>
      </c>
      <c r="F383" s="549" t="s">
        <v>2253</v>
      </c>
      <c r="G383" s="556" t="s">
        <v>2253</v>
      </c>
      <c r="H383" s="549" t="s">
        <v>355</v>
      </c>
      <c r="I383" s="549" t="s">
        <v>355</v>
      </c>
      <c r="J383" s="549" t="str">
        <f aca="false">"[pt]"&amp;E383</f>
        <v>[pt]Kuba</v>
      </c>
      <c r="K383" s="549" t="str">
        <f aca="false">"[gr]"&amp;E383</f>
        <v>[gr]Kuba</v>
      </c>
      <c r="L383" s="619" t="s">
        <v>356</v>
      </c>
      <c r="M383" s="550" t="str">
        <f aca="false">IF(L383=A383,"","nix")</f>
        <v/>
      </c>
    </row>
    <row r="384" customFormat="false" ht="15.75" hidden="false" customHeight="true" outlineLevel="0" collapsed="false">
      <c r="A384" s="617" t="s">
        <v>358</v>
      </c>
      <c r="B384" s="569" t="s">
        <v>2254</v>
      </c>
      <c r="C384" s="617" t="s">
        <v>2255</v>
      </c>
      <c r="D384" s="552" t="str">
        <f aca="false">A384&amp;" "&amp;HLOOKUP($C$1,$E$1:$X$4910,ROW(D384))</f>
        <v>CUW Curaçao</v>
      </c>
      <c r="E384" s="548" t="s">
        <v>2256</v>
      </c>
      <c r="F384" s="549" t="s">
        <v>2257</v>
      </c>
      <c r="G384" s="556" t="s">
        <v>2257</v>
      </c>
      <c r="H384" s="549" t="s">
        <v>2258</v>
      </c>
      <c r="I384" s="549" t="s">
        <v>2256</v>
      </c>
      <c r="J384" s="549" t="str">
        <f aca="false">"[pt]"&amp;E384</f>
        <v>[pt]Curaçao</v>
      </c>
      <c r="K384" s="549" t="str">
        <f aca="false">"[gr]"&amp;E384</f>
        <v>[gr]Curaçao</v>
      </c>
      <c r="L384" s="619" t="s">
        <v>358</v>
      </c>
      <c r="M384" s="550" t="str">
        <f aca="false">IF(L384=A384,"","nix")</f>
        <v/>
      </c>
    </row>
    <row r="385" customFormat="false" ht="15.75" hidden="false" customHeight="true" outlineLevel="0" collapsed="false">
      <c r="A385" s="617" t="s">
        <v>360</v>
      </c>
      <c r="B385" s="569" t="s">
        <v>2259</v>
      </c>
      <c r="C385" s="617" t="s">
        <v>2260</v>
      </c>
      <c r="D385" s="552" t="str">
        <f aca="false">A385&amp;" "&amp;HLOOKUP($C$1,$E$1:$X$4910,ROW(D385))</f>
        <v>CYM Cayman Islands</v>
      </c>
      <c r="E385" s="618" t="s">
        <v>2261</v>
      </c>
      <c r="F385" s="549" t="s">
        <v>2262</v>
      </c>
      <c r="G385" s="556" t="s">
        <v>2263</v>
      </c>
      <c r="H385" s="549" t="s">
        <v>2264</v>
      </c>
      <c r="I385" s="549" t="s">
        <v>2265</v>
      </c>
      <c r="J385" s="549" t="str">
        <f aca="false">"[pt]"&amp;E385</f>
        <v>[pt]Kaimaninseln</v>
      </c>
      <c r="K385" s="549" t="str">
        <f aca="false">"[gr]"&amp;E385</f>
        <v>[gr]Kaimaninseln</v>
      </c>
      <c r="L385" s="619" t="s">
        <v>360</v>
      </c>
      <c r="M385" s="550" t="str">
        <f aca="false">IF(L385=A385,"","nix")</f>
        <v/>
      </c>
    </row>
    <row r="386" customFormat="false" ht="15.75" hidden="false" customHeight="true" outlineLevel="0" collapsed="false">
      <c r="A386" s="617" t="s">
        <v>362</v>
      </c>
      <c r="B386" s="569" t="s">
        <v>2266</v>
      </c>
      <c r="C386" s="617" t="s">
        <v>2267</v>
      </c>
      <c r="D386" s="552" t="str">
        <f aca="false">A386&amp;" "&amp;HLOOKUP($C$1,$E$1:$X$4910,ROW(D386))</f>
        <v>CYP Cyprus</v>
      </c>
      <c r="E386" s="618" t="s">
        <v>2268</v>
      </c>
      <c r="F386" s="549" t="s">
        <v>2269</v>
      </c>
      <c r="G386" s="556" t="s">
        <v>2270</v>
      </c>
      <c r="H386" s="549" t="s">
        <v>2271</v>
      </c>
      <c r="I386" s="549" t="s">
        <v>2272</v>
      </c>
      <c r="J386" s="549" t="str">
        <f aca="false">"[pt]"&amp;E386</f>
        <v>[pt]Zypern</v>
      </c>
      <c r="K386" s="549" t="str">
        <f aca="false">"[gr]"&amp;E386</f>
        <v>[gr]Zypern</v>
      </c>
      <c r="L386" s="619" t="s">
        <v>362</v>
      </c>
      <c r="M386" s="550" t="str">
        <f aca="false">IF(L386=A386,"","nix")</f>
        <v/>
      </c>
    </row>
    <row r="387" customFormat="false" ht="15.75" hidden="false" customHeight="true" outlineLevel="0" collapsed="false">
      <c r="A387" s="617" t="s">
        <v>364</v>
      </c>
      <c r="B387" s="569" t="s">
        <v>2273</v>
      </c>
      <c r="C387" s="617" t="s">
        <v>2274</v>
      </c>
      <c r="D387" s="552" t="str">
        <f aca="false">A387&amp;" "&amp;HLOOKUP($C$1,$E$1:$X$4910,ROW(D387))</f>
        <v>CZE Czech Republic</v>
      </c>
      <c r="E387" s="618" t="s">
        <v>2275</v>
      </c>
      <c r="F387" s="549" t="s">
        <v>2276</v>
      </c>
      <c r="G387" s="556" t="s">
        <v>2277</v>
      </c>
      <c r="H387" s="549" t="s">
        <v>2278</v>
      </c>
      <c r="I387" s="549" t="s">
        <v>2279</v>
      </c>
      <c r="J387" s="549" t="str">
        <f aca="false">"[pt]"&amp;E387</f>
        <v>[pt]Tschechische Republik</v>
      </c>
      <c r="K387" s="549" t="str">
        <f aca="false">"[gr]"&amp;E387</f>
        <v>[gr]Tschechische Republik</v>
      </c>
      <c r="L387" s="619" t="s">
        <v>364</v>
      </c>
      <c r="M387" s="550" t="str">
        <f aca="false">IF(L387=A387,"","nix")</f>
        <v/>
      </c>
    </row>
    <row r="388" customFormat="false" ht="15.75" hidden="false" customHeight="true" outlineLevel="0" collapsed="false">
      <c r="A388" s="617" t="s">
        <v>366</v>
      </c>
      <c r="B388" s="569" t="s">
        <v>2280</v>
      </c>
      <c r="C388" s="617" t="s">
        <v>2281</v>
      </c>
      <c r="D388" s="552" t="str">
        <f aca="false">A388&amp;" "&amp;HLOOKUP($C$1,$E$1:$X$4910,ROW(D388))</f>
        <v>DEU Germany</v>
      </c>
      <c r="E388" s="618" t="s">
        <v>2282</v>
      </c>
      <c r="F388" s="549" t="s">
        <v>2283</v>
      </c>
      <c r="G388" s="556" t="s">
        <v>2284</v>
      </c>
      <c r="H388" s="549" t="s">
        <v>2285</v>
      </c>
      <c r="I388" s="549" t="s">
        <v>2286</v>
      </c>
      <c r="J388" s="549" t="str">
        <f aca="false">"[pt]"&amp;E388</f>
        <v>[pt]Deutschland</v>
      </c>
      <c r="K388" s="549" t="str">
        <f aca="false">"[gr]"&amp;E388</f>
        <v>[gr]Deutschland</v>
      </c>
      <c r="L388" s="619" t="s">
        <v>366</v>
      </c>
      <c r="M388" s="550" t="str">
        <f aca="false">IF(L388=A388,"","nix")</f>
        <v/>
      </c>
    </row>
    <row r="389" customFormat="false" ht="15.75" hidden="false" customHeight="true" outlineLevel="0" collapsed="false">
      <c r="A389" s="617" t="s">
        <v>368</v>
      </c>
      <c r="B389" s="569" t="s">
        <v>2287</v>
      </c>
      <c r="C389" s="617" t="s">
        <v>2288</v>
      </c>
      <c r="D389" s="552" t="str">
        <f aca="false">A389&amp;" "&amp;HLOOKUP($C$1,$E$1:$X$4910,ROW(D389))</f>
        <v>DJI Djibouti</v>
      </c>
      <c r="E389" s="618" t="s">
        <v>2289</v>
      </c>
      <c r="F389" s="549" t="s">
        <v>2290</v>
      </c>
      <c r="G389" s="556" t="s">
        <v>2291</v>
      </c>
      <c r="H389" s="549" t="s">
        <v>2292</v>
      </c>
      <c r="I389" s="549" t="s">
        <v>367</v>
      </c>
      <c r="J389" s="549" t="str">
        <f aca="false">"[pt]"&amp;E389</f>
        <v>[pt]Dschibuti</v>
      </c>
      <c r="K389" s="549" t="str">
        <f aca="false">"[gr]"&amp;E389</f>
        <v>[gr]Dschibuti</v>
      </c>
      <c r="L389" s="619" t="s">
        <v>368</v>
      </c>
      <c r="M389" s="550" t="str">
        <f aca="false">IF(L389=A389,"","nix")</f>
        <v/>
      </c>
    </row>
    <row r="390" customFormat="false" ht="15.75" hidden="false" customHeight="true" outlineLevel="0" collapsed="false">
      <c r="A390" s="617" t="s">
        <v>370</v>
      </c>
      <c r="B390" s="569" t="s">
        <v>2293</v>
      </c>
      <c r="C390" s="617" t="s">
        <v>2294</v>
      </c>
      <c r="D390" s="552" t="str">
        <f aca="false">A390&amp;" "&amp;HLOOKUP($C$1,$E$1:$X$4910,ROW(D390))</f>
        <v>DMA Dominica</v>
      </c>
      <c r="E390" s="618" t="s">
        <v>369</v>
      </c>
      <c r="F390" s="549" t="s">
        <v>2295</v>
      </c>
      <c r="G390" s="556" t="s">
        <v>2295</v>
      </c>
      <c r="H390" s="549" t="s">
        <v>369</v>
      </c>
      <c r="I390" s="549" t="s">
        <v>2296</v>
      </c>
      <c r="J390" s="549" t="str">
        <f aca="false">"[pt]"&amp;E390</f>
        <v>[pt]Dominica</v>
      </c>
      <c r="K390" s="549" t="str">
        <f aca="false">"[gr]"&amp;E390</f>
        <v>[gr]Dominica</v>
      </c>
      <c r="L390" s="619" t="s">
        <v>370</v>
      </c>
      <c r="M390" s="550" t="str">
        <f aca="false">IF(L390=A390,"","nix")</f>
        <v/>
      </c>
    </row>
    <row r="391" customFormat="false" ht="15.75" hidden="false" customHeight="true" outlineLevel="0" collapsed="false">
      <c r="A391" s="617" t="s">
        <v>372</v>
      </c>
      <c r="B391" s="569" t="s">
        <v>2297</v>
      </c>
      <c r="C391" s="617" t="s">
        <v>2298</v>
      </c>
      <c r="D391" s="552" t="str">
        <f aca="false">A391&amp;" "&amp;HLOOKUP($C$1,$E$1:$X$4910,ROW(D391))</f>
        <v>DNK Denmark</v>
      </c>
      <c r="E391" s="618" t="s">
        <v>2299</v>
      </c>
      <c r="F391" s="549" t="s">
        <v>2300</v>
      </c>
      <c r="G391" s="556" t="s">
        <v>2301</v>
      </c>
      <c r="H391" s="549" t="s">
        <v>2302</v>
      </c>
      <c r="I391" s="549" t="s">
        <v>2303</v>
      </c>
      <c r="J391" s="549" t="str">
        <f aca="false">"[pt]"&amp;E391</f>
        <v>[pt]Dänemark</v>
      </c>
      <c r="K391" s="549" t="str">
        <f aca="false">"[gr]"&amp;E391</f>
        <v>[gr]Dänemark</v>
      </c>
      <c r="L391" s="619" t="s">
        <v>372</v>
      </c>
      <c r="M391" s="550" t="str">
        <f aca="false">IF(L391=A391,"","nix")</f>
        <v/>
      </c>
    </row>
    <row r="392" customFormat="false" ht="15.75" hidden="false" customHeight="true" outlineLevel="0" collapsed="false">
      <c r="A392" s="617" t="s">
        <v>374</v>
      </c>
      <c r="B392" s="569" t="s">
        <v>2304</v>
      </c>
      <c r="C392" s="617" t="s">
        <v>2305</v>
      </c>
      <c r="D392" s="552" t="str">
        <f aca="false">A392&amp;" "&amp;HLOOKUP($C$1,$E$1:$X$4910,ROW(D392))</f>
        <v>DOM Dominican Republic</v>
      </c>
      <c r="E392" s="618" t="s">
        <v>2306</v>
      </c>
      <c r="F392" s="549" t="s">
        <v>2307</v>
      </c>
      <c r="G392" s="556" t="s">
        <v>2308</v>
      </c>
      <c r="H392" s="549" t="s">
        <v>2309</v>
      </c>
      <c r="I392" s="549" t="s">
        <v>2310</v>
      </c>
      <c r="J392" s="549" t="str">
        <f aca="false">"[pt]"&amp;E392</f>
        <v>[pt]Dominikanische Republik</v>
      </c>
      <c r="K392" s="549" t="str">
        <f aca="false">"[gr]"&amp;E392</f>
        <v>[gr]Dominikanische Republik</v>
      </c>
      <c r="L392" s="619" t="s">
        <v>374</v>
      </c>
      <c r="M392" s="550" t="str">
        <f aca="false">IF(L392=A392,"","nix")</f>
        <v/>
      </c>
    </row>
    <row r="393" customFormat="false" ht="15.75" hidden="false" customHeight="true" outlineLevel="0" collapsed="false">
      <c r="A393" s="617" t="s">
        <v>376</v>
      </c>
      <c r="B393" s="569" t="s">
        <v>2311</v>
      </c>
      <c r="C393" s="617" t="s">
        <v>2312</v>
      </c>
      <c r="D393" s="552" t="str">
        <f aca="false">A393&amp;" "&amp;HLOOKUP($C$1,$E$1:$X$4910,ROW(D393))</f>
        <v>DZA Algeria</v>
      </c>
      <c r="E393" s="618" t="s">
        <v>2313</v>
      </c>
      <c r="F393" s="549" t="s">
        <v>2314</v>
      </c>
      <c r="G393" s="556" t="s">
        <v>2314</v>
      </c>
      <c r="H393" s="549" t="s">
        <v>2315</v>
      </c>
      <c r="I393" s="549" t="s">
        <v>2316</v>
      </c>
      <c r="J393" s="549" t="str">
        <f aca="false">"[pt]"&amp;E393</f>
        <v>[pt]Algerien</v>
      </c>
      <c r="K393" s="549" t="str">
        <f aca="false">"[gr]"&amp;E393</f>
        <v>[gr]Algerien</v>
      </c>
      <c r="L393" s="619" t="s">
        <v>376</v>
      </c>
      <c r="M393" s="550" t="str">
        <f aca="false">IF(L393=A393,"","nix")</f>
        <v/>
      </c>
    </row>
    <row r="394" customFormat="false" ht="15.75" hidden="false" customHeight="true" outlineLevel="0" collapsed="false">
      <c r="A394" s="617" t="s">
        <v>378</v>
      </c>
      <c r="B394" s="569" t="s">
        <v>2317</v>
      </c>
      <c r="C394" s="617" t="s">
        <v>2318</v>
      </c>
      <c r="D394" s="552" t="str">
        <f aca="false">A394&amp;" "&amp;HLOOKUP($C$1,$E$1:$X$4910,ROW(D394))</f>
        <v>ECU Ecuador</v>
      </c>
      <c r="E394" s="618" t="s">
        <v>377</v>
      </c>
      <c r="F394" s="549" t="s">
        <v>2319</v>
      </c>
      <c r="G394" s="556" t="s">
        <v>2319</v>
      </c>
      <c r="H394" s="549" t="s">
        <v>377</v>
      </c>
      <c r="I394" s="549" t="s">
        <v>2320</v>
      </c>
      <c r="J394" s="549" t="str">
        <f aca="false">"[pt]"&amp;E394</f>
        <v>[pt]Ecuador</v>
      </c>
      <c r="K394" s="549" t="str">
        <f aca="false">"[gr]"&amp;E394</f>
        <v>[gr]Ecuador</v>
      </c>
      <c r="L394" s="619" t="s">
        <v>378</v>
      </c>
      <c r="M394" s="550" t="str">
        <f aca="false">IF(L394=A394,"","nix")</f>
        <v/>
      </c>
    </row>
    <row r="395" customFormat="false" ht="15.75" hidden="false" customHeight="true" outlineLevel="0" collapsed="false">
      <c r="A395" s="617" t="s">
        <v>380</v>
      </c>
      <c r="B395" s="569" t="s">
        <v>2321</v>
      </c>
      <c r="C395" s="617" t="s">
        <v>2322</v>
      </c>
      <c r="D395" s="552" t="str">
        <f aca="false">A395&amp;" "&amp;HLOOKUP($C$1,$E$1:$X$4910,ROW(D395))</f>
        <v>EGY Egypt</v>
      </c>
      <c r="E395" s="618" t="s">
        <v>2323</v>
      </c>
      <c r="F395" s="549" t="s">
        <v>2324</v>
      </c>
      <c r="G395" s="556" t="s">
        <v>2325</v>
      </c>
      <c r="H395" s="549" t="s">
        <v>2326</v>
      </c>
      <c r="I395" s="549" t="s">
        <v>2327</v>
      </c>
      <c r="J395" s="549" t="str">
        <f aca="false">"[pt]"&amp;E395</f>
        <v>[pt]Ägypten</v>
      </c>
      <c r="K395" s="549" t="str">
        <f aca="false">"[gr]"&amp;E395</f>
        <v>[gr]Ägypten</v>
      </c>
      <c r="L395" s="619" t="s">
        <v>380</v>
      </c>
      <c r="M395" s="550" t="str">
        <f aca="false">IF(L395=A395,"","nix")</f>
        <v/>
      </c>
    </row>
    <row r="396" customFormat="false" ht="15.75" hidden="false" customHeight="true" outlineLevel="0" collapsed="false">
      <c r="A396" s="617" t="s">
        <v>382</v>
      </c>
      <c r="B396" s="569" t="s">
        <v>2328</v>
      </c>
      <c r="C396" s="617" t="s">
        <v>2329</v>
      </c>
      <c r="D396" s="552" t="str">
        <f aca="false">A396&amp;" "&amp;HLOOKUP($C$1,$E$1:$X$4910,ROW(D396))</f>
        <v>ERI Eritrea</v>
      </c>
      <c r="E396" s="618" t="s">
        <v>381</v>
      </c>
      <c r="F396" s="549" t="s">
        <v>2330</v>
      </c>
      <c r="G396" s="556" t="s">
        <v>2330</v>
      </c>
      <c r="H396" s="549" t="s">
        <v>381</v>
      </c>
      <c r="I396" s="549" t="s">
        <v>2331</v>
      </c>
      <c r="J396" s="549" t="str">
        <f aca="false">"[pt]"&amp;E396</f>
        <v>[pt]Eritrea</v>
      </c>
      <c r="K396" s="549" t="str">
        <f aca="false">"[gr]"&amp;E396</f>
        <v>[gr]Eritrea</v>
      </c>
      <c r="L396" s="619" t="s">
        <v>382</v>
      </c>
      <c r="M396" s="550" t="str">
        <f aca="false">IF(L396=A396,"","nix")</f>
        <v/>
      </c>
    </row>
    <row r="397" customFormat="false" ht="15.75" hidden="false" customHeight="true" outlineLevel="0" collapsed="false">
      <c r="A397" s="617" t="s">
        <v>384</v>
      </c>
      <c r="B397" s="569" t="s">
        <v>2332</v>
      </c>
      <c r="C397" s="617" t="s">
        <v>2333</v>
      </c>
      <c r="D397" s="552" t="str">
        <f aca="false">A397&amp;" "&amp;HLOOKUP($C$1,$E$1:$X$4910,ROW(D397))</f>
        <v>ESP Spain</v>
      </c>
      <c r="E397" s="618" t="s">
        <v>2334</v>
      </c>
      <c r="F397" s="549" t="s">
        <v>2335</v>
      </c>
      <c r="G397" s="556" t="s">
        <v>2336</v>
      </c>
      <c r="H397" s="549" t="s">
        <v>2337</v>
      </c>
      <c r="I397" s="549" t="s">
        <v>2338</v>
      </c>
      <c r="J397" s="549" t="str">
        <f aca="false">"[pt]"&amp;E397</f>
        <v>[pt]Spanien</v>
      </c>
      <c r="K397" s="549" t="str">
        <f aca="false">"[gr]"&amp;E397</f>
        <v>[gr]Spanien</v>
      </c>
      <c r="L397" s="619" t="s">
        <v>384</v>
      </c>
      <c r="M397" s="550" t="str">
        <f aca="false">IF(L397=A397,"","nix")</f>
        <v/>
      </c>
    </row>
    <row r="398" customFormat="false" ht="15.75" hidden="false" customHeight="true" outlineLevel="0" collapsed="false">
      <c r="A398" s="617" t="s">
        <v>386</v>
      </c>
      <c r="B398" s="569" t="s">
        <v>2339</v>
      </c>
      <c r="C398" s="617" t="s">
        <v>2340</v>
      </c>
      <c r="D398" s="552" t="str">
        <f aca="false">A398&amp;" "&amp;HLOOKUP($C$1,$E$1:$X$4910,ROW(D398))</f>
        <v>EST Estonia</v>
      </c>
      <c r="E398" s="618" t="s">
        <v>2341</v>
      </c>
      <c r="F398" s="549" t="s">
        <v>2342</v>
      </c>
      <c r="G398" s="556" t="s">
        <v>2342</v>
      </c>
      <c r="H398" s="549" t="s">
        <v>385</v>
      </c>
      <c r="I398" s="549" t="s">
        <v>2343</v>
      </c>
      <c r="J398" s="549" t="str">
        <f aca="false">"[pt]"&amp;E398</f>
        <v>[pt]Estland</v>
      </c>
      <c r="K398" s="549" t="str">
        <f aca="false">"[gr]"&amp;E398</f>
        <v>[gr]Estland</v>
      </c>
      <c r="L398" s="619" t="s">
        <v>386</v>
      </c>
      <c r="M398" s="550" t="str">
        <f aca="false">IF(L398=A398,"","nix")</f>
        <v/>
      </c>
    </row>
    <row r="399" customFormat="false" ht="15.75" hidden="false" customHeight="true" outlineLevel="0" collapsed="false">
      <c r="A399" s="617" t="s">
        <v>388</v>
      </c>
      <c r="B399" s="569" t="s">
        <v>2344</v>
      </c>
      <c r="C399" s="617" t="s">
        <v>2345</v>
      </c>
      <c r="D399" s="552" t="str">
        <f aca="false">A399&amp;" "&amp;HLOOKUP($C$1,$E$1:$X$4910,ROW(D399))</f>
        <v>ETH Ethiopia</v>
      </c>
      <c r="E399" s="618" t="s">
        <v>2346</v>
      </c>
      <c r="F399" s="549" t="s">
        <v>2347</v>
      </c>
      <c r="G399" s="556" t="s">
        <v>2348</v>
      </c>
      <c r="H399" s="549" t="s">
        <v>2349</v>
      </c>
      <c r="I399" s="549" t="s">
        <v>2350</v>
      </c>
      <c r="J399" s="549" t="str">
        <f aca="false">"[pt]"&amp;E399</f>
        <v>[pt]Äthiopien</v>
      </c>
      <c r="K399" s="549" t="str">
        <f aca="false">"[gr]"&amp;E399</f>
        <v>[gr]Äthiopien</v>
      </c>
      <c r="L399" s="619" t="s">
        <v>388</v>
      </c>
      <c r="M399" s="550" t="str">
        <f aca="false">IF(L399=A399,"","nix")</f>
        <v/>
      </c>
    </row>
    <row r="400" customFormat="false" ht="15.75" hidden="false" customHeight="true" outlineLevel="0" collapsed="false">
      <c r="A400" s="617" t="s">
        <v>390</v>
      </c>
      <c r="B400" s="569" t="s">
        <v>2351</v>
      </c>
      <c r="C400" s="617" t="s">
        <v>2352</v>
      </c>
      <c r="D400" s="552" t="str">
        <f aca="false">A400&amp;" "&amp;HLOOKUP($C$1,$E$1:$X$4910,ROW(D400))</f>
        <v>FIN Finland</v>
      </c>
      <c r="E400" s="618" t="s">
        <v>2353</v>
      </c>
      <c r="F400" s="549" t="s">
        <v>2354</v>
      </c>
      <c r="G400" s="556" t="s">
        <v>2355</v>
      </c>
      <c r="H400" s="549" t="s">
        <v>2356</v>
      </c>
      <c r="I400" s="549" t="s">
        <v>2357</v>
      </c>
      <c r="J400" s="549" t="str">
        <f aca="false">"[pt]"&amp;E400</f>
        <v>[pt]Finnland</v>
      </c>
      <c r="K400" s="549" t="str">
        <f aca="false">"[gr]"&amp;E400</f>
        <v>[gr]Finnland</v>
      </c>
      <c r="L400" s="619" t="s">
        <v>390</v>
      </c>
      <c r="M400" s="550" t="str">
        <f aca="false">IF(L400=A400,"","nix")</f>
        <v/>
      </c>
    </row>
    <row r="401" customFormat="false" ht="28.5" hidden="false" customHeight="true" outlineLevel="0" collapsed="false">
      <c r="A401" s="617" t="s">
        <v>392</v>
      </c>
      <c r="B401" s="569" t="s">
        <v>2358</v>
      </c>
      <c r="C401" s="617" t="s">
        <v>2359</v>
      </c>
      <c r="D401" s="552" t="str">
        <f aca="false">A401&amp;" "&amp;HLOOKUP($C$1,$E$1:$X$4910,ROW(D401))</f>
        <v>FJI Fiji</v>
      </c>
      <c r="E401" s="618" t="s">
        <v>2360</v>
      </c>
      <c r="F401" s="549" t="s">
        <v>2361</v>
      </c>
      <c r="G401" s="556" t="s">
        <v>2362</v>
      </c>
      <c r="H401" s="549" t="s">
        <v>2363</v>
      </c>
      <c r="I401" s="549" t="s">
        <v>391</v>
      </c>
      <c r="J401" s="549" t="str">
        <f aca="false">"[pt]"&amp;E401</f>
        <v>[pt]Fidschi</v>
      </c>
      <c r="K401" s="549" t="str">
        <f aca="false">"[gr]"&amp;E401</f>
        <v>[gr]Fidschi</v>
      </c>
      <c r="L401" s="619" t="s">
        <v>392</v>
      </c>
      <c r="M401" s="550" t="str">
        <f aca="false">IF(L401=A401,"","nix")</f>
        <v/>
      </c>
    </row>
    <row r="402" customFormat="false" ht="15.75" hidden="false" customHeight="true" outlineLevel="0" collapsed="false">
      <c r="A402" s="617" t="s">
        <v>394</v>
      </c>
      <c r="B402" s="569" t="s">
        <v>2364</v>
      </c>
      <c r="C402" s="617" t="s">
        <v>2365</v>
      </c>
      <c r="D402" s="552" t="str">
        <f aca="false">A402&amp;" "&amp;HLOOKUP($C$1,$E$1:$X$4910,ROW(D402))</f>
        <v>FRA France</v>
      </c>
      <c r="E402" s="618" t="s">
        <v>2366</v>
      </c>
      <c r="F402" s="549" t="s">
        <v>2367</v>
      </c>
      <c r="G402" s="556" t="s">
        <v>2368</v>
      </c>
      <c r="H402" s="549" t="s">
        <v>2369</v>
      </c>
      <c r="I402" s="549" t="s">
        <v>393</v>
      </c>
      <c r="J402" s="549" t="str">
        <f aca="false">"[pt]"&amp;E402</f>
        <v>[pt]Frankreich</v>
      </c>
      <c r="K402" s="549" t="str">
        <f aca="false">"[gr]"&amp;E402</f>
        <v>[gr]Frankreich</v>
      </c>
      <c r="L402" s="619" t="s">
        <v>394</v>
      </c>
      <c r="M402" s="550" t="str">
        <f aca="false">IF(L402=A402,"","nix")</f>
        <v/>
      </c>
    </row>
    <row r="403" customFormat="false" ht="15.75" hidden="false" customHeight="true" outlineLevel="0" collapsed="false">
      <c r="A403" s="617" t="s">
        <v>396</v>
      </c>
      <c r="B403" s="569" t="s">
        <v>2370</v>
      </c>
      <c r="C403" s="617" t="s">
        <v>2371</v>
      </c>
      <c r="D403" s="552" t="str">
        <f aca="false">A403&amp;" "&amp;HLOOKUP($C$1,$E$1:$X$4910,ROW(D403))</f>
        <v>FRO Faroe Islands</v>
      </c>
      <c r="E403" s="618" t="s">
        <v>2372</v>
      </c>
      <c r="F403" s="549" t="s">
        <v>2373</v>
      </c>
      <c r="G403" s="556" t="s">
        <v>2374</v>
      </c>
      <c r="H403" s="549" t="s">
        <v>2375</v>
      </c>
      <c r="I403" s="549" t="s">
        <v>2376</v>
      </c>
      <c r="J403" s="549" t="str">
        <f aca="false">"[pt]"&amp;E403</f>
        <v>[pt]Färöer</v>
      </c>
      <c r="K403" s="549" t="str">
        <f aca="false">"[gr]"&amp;E403</f>
        <v>[gr]Färöer</v>
      </c>
      <c r="L403" s="619" t="s">
        <v>396</v>
      </c>
      <c r="M403" s="550" t="str">
        <f aca="false">IF(L403=A403,"","nix")</f>
        <v/>
      </c>
    </row>
    <row r="404" customFormat="false" ht="15.75" hidden="false" customHeight="true" outlineLevel="0" collapsed="false">
      <c r="A404" s="617" t="s">
        <v>398</v>
      </c>
      <c r="B404" s="569" t="s">
        <v>2377</v>
      </c>
      <c r="C404" s="617" t="s">
        <v>2378</v>
      </c>
      <c r="D404" s="552" t="str">
        <f aca="false">A404&amp;" "&amp;HLOOKUP($C$1,$E$1:$X$4910,ROW(D404))</f>
        <v>FSM Micronesia, Federated States of</v>
      </c>
      <c r="E404" s="618" t="s">
        <v>2379</v>
      </c>
      <c r="F404" s="549" t="s">
        <v>2380</v>
      </c>
      <c r="G404" s="556" t="s">
        <v>2381</v>
      </c>
      <c r="H404" s="549" t="s">
        <v>2382</v>
      </c>
      <c r="I404" s="549" t="s">
        <v>2383</v>
      </c>
      <c r="J404" s="549" t="str">
        <f aca="false">"[pt]"&amp;E404</f>
        <v>[pt]Mikronesien</v>
      </c>
      <c r="K404" s="549" t="str">
        <f aca="false">"[gr]"&amp;E404</f>
        <v>[gr]Mikronesien</v>
      </c>
      <c r="L404" s="619" t="s">
        <v>398</v>
      </c>
      <c r="M404" s="550" t="str">
        <f aca="false">IF(L404=A404,"","nix")</f>
        <v/>
      </c>
    </row>
    <row r="405" customFormat="false" ht="15.75" hidden="false" customHeight="true" outlineLevel="0" collapsed="false">
      <c r="A405" s="617" t="s">
        <v>400</v>
      </c>
      <c r="B405" s="569" t="s">
        <v>2384</v>
      </c>
      <c r="C405" s="617" t="s">
        <v>2385</v>
      </c>
      <c r="D405" s="552" t="str">
        <f aca="false">A405&amp;" "&amp;HLOOKUP($C$1,$E$1:$X$4910,ROW(D405))</f>
        <v>GAB Gabon</v>
      </c>
      <c r="E405" s="618" t="s">
        <v>2386</v>
      </c>
      <c r="F405" s="549" t="s">
        <v>2387</v>
      </c>
      <c r="G405" s="556" t="s">
        <v>2387</v>
      </c>
      <c r="H405" s="549" t="s">
        <v>2388</v>
      </c>
      <c r="I405" s="549" t="s">
        <v>399</v>
      </c>
      <c r="J405" s="549" t="str">
        <f aca="false">"[pt]"&amp;E405</f>
        <v>[pt]Gabun</v>
      </c>
      <c r="K405" s="549" t="str">
        <f aca="false">"[gr]"&amp;E405</f>
        <v>[gr]Gabun</v>
      </c>
      <c r="L405" s="619" t="s">
        <v>400</v>
      </c>
      <c r="M405" s="550" t="str">
        <f aca="false">IF(L405=A405,"","nix")</f>
        <v/>
      </c>
    </row>
    <row r="406" customFormat="false" ht="15.75" hidden="false" customHeight="true" outlineLevel="0" collapsed="false">
      <c r="A406" s="617" t="s">
        <v>402</v>
      </c>
      <c r="B406" s="569" t="s">
        <v>2389</v>
      </c>
      <c r="C406" s="617" t="s">
        <v>2390</v>
      </c>
      <c r="D406" s="552" t="str">
        <f aca="false">A406&amp;" "&amp;HLOOKUP($C$1,$E$1:$X$4910,ROW(D406))</f>
        <v>GBR United Kingdom</v>
      </c>
      <c r="E406" s="618" t="s">
        <v>2391</v>
      </c>
      <c r="F406" s="549" t="s">
        <v>2392</v>
      </c>
      <c r="G406" s="556" t="s">
        <v>2393</v>
      </c>
      <c r="H406" s="549" t="s">
        <v>2394</v>
      </c>
      <c r="I406" s="549" t="s">
        <v>2395</v>
      </c>
      <c r="J406" s="549" t="str">
        <f aca="false">"[pt]"&amp;E406</f>
        <v>[pt]Vereinigtes Königreich Großbritannien und Nordirland</v>
      </c>
      <c r="K406" s="549" t="str">
        <f aca="false">"[gr]"&amp;E406</f>
        <v>[gr]Vereinigtes Königreich Großbritannien und Nordirland</v>
      </c>
      <c r="L406" s="619" t="s">
        <v>402</v>
      </c>
      <c r="M406" s="550" t="str">
        <f aca="false">IF(L406=A406,"","nix")</f>
        <v/>
      </c>
    </row>
    <row r="407" customFormat="false" ht="15.75" hidden="false" customHeight="true" outlineLevel="0" collapsed="false">
      <c r="A407" s="617" t="s">
        <v>404</v>
      </c>
      <c r="B407" s="569" t="s">
        <v>2396</v>
      </c>
      <c r="C407" s="617" t="s">
        <v>2397</v>
      </c>
      <c r="D407" s="552" t="str">
        <f aca="false">A407&amp;" "&amp;HLOOKUP($C$1,$E$1:$X$4910,ROW(D407))</f>
        <v>GEO Georgia</v>
      </c>
      <c r="E407" s="618" t="s">
        <v>2398</v>
      </c>
      <c r="F407" s="549" t="s">
        <v>2399</v>
      </c>
      <c r="G407" s="556" t="s">
        <v>2399</v>
      </c>
      <c r="H407" s="549" t="s">
        <v>403</v>
      </c>
      <c r="I407" s="549" t="s">
        <v>2400</v>
      </c>
      <c r="J407" s="549" t="str">
        <f aca="false">"[pt]"&amp;E407</f>
        <v>[pt]Georgien</v>
      </c>
      <c r="K407" s="549" t="str">
        <f aca="false">"[gr]"&amp;E407</f>
        <v>[gr]Georgien</v>
      </c>
      <c r="L407" s="619" t="s">
        <v>404</v>
      </c>
      <c r="M407" s="550" t="str">
        <f aca="false">IF(L407=A407,"","nix")</f>
        <v/>
      </c>
    </row>
    <row r="408" customFormat="false" ht="15.75" hidden="false" customHeight="true" outlineLevel="0" collapsed="false">
      <c r="A408" s="617" t="s">
        <v>406</v>
      </c>
      <c r="B408" s="569" t="s">
        <v>2401</v>
      </c>
      <c r="C408" s="617" t="s">
        <v>2402</v>
      </c>
      <c r="D408" s="552" t="str">
        <f aca="false">A408&amp;" "&amp;HLOOKUP($C$1,$E$1:$X$4910,ROW(D408))</f>
        <v>GHA Ghana</v>
      </c>
      <c r="E408" s="618" t="s">
        <v>405</v>
      </c>
      <c r="F408" s="549" t="s">
        <v>2403</v>
      </c>
      <c r="G408" s="556" t="s">
        <v>2403</v>
      </c>
      <c r="H408" s="549" t="s">
        <v>405</v>
      </c>
      <c r="I408" s="549" t="s">
        <v>405</v>
      </c>
      <c r="J408" s="549" t="str">
        <f aca="false">"[pt]"&amp;E408</f>
        <v>[pt]Ghana</v>
      </c>
      <c r="K408" s="549" t="str">
        <f aca="false">"[gr]"&amp;E408</f>
        <v>[gr]Ghana</v>
      </c>
      <c r="L408" s="619" t="s">
        <v>406</v>
      </c>
      <c r="M408" s="550" t="str">
        <f aca="false">IF(L408=A408,"","nix")</f>
        <v/>
      </c>
    </row>
    <row r="409" customFormat="false" ht="15.75" hidden="false" customHeight="true" outlineLevel="0" collapsed="false">
      <c r="A409" s="617" t="s">
        <v>408</v>
      </c>
      <c r="B409" s="569" t="s">
        <v>2404</v>
      </c>
      <c r="C409" s="617" t="s">
        <v>2405</v>
      </c>
      <c r="D409" s="552" t="str">
        <f aca="false">A409&amp;" "&amp;HLOOKUP($C$1,$E$1:$X$4910,ROW(D409))</f>
        <v>GIB Gibraltar</v>
      </c>
      <c r="E409" s="618" t="s">
        <v>407</v>
      </c>
      <c r="F409" s="549" t="s">
        <v>2406</v>
      </c>
      <c r="G409" s="556" t="s">
        <v>2407</v>
      </c>
      <c r="H409" s="549" t="s">
        <v>407</v>
      </c>
      <c r="I409" s="549" t="s">
        <v>2408</v>
      </c>
      <c r="J409" s="549" t="str">
        <f aca="false">"[pt]"&amp;E409</f>
        <v>[pt]Gibraltar</v>
      </c>
      <c r="K409" s="549" t="str">
        <f aca="false">"[gr]"&amp;E409</f>
        <v>[gr]Gibraltar</v>
      </c>
      <c r="L409" s="619" t="s">
        <v>408</v>
      </c>
      <c r="M409" s="550" t="str">
        <f aca="false">IF(L409=A409,"","nix")</f>
        <v/>
      </c>
    </row>
    <row r="410" customFormat="false" ht="15.75" hidden="false" customHeight="true" outlineLevel="0" collapsed="false">
      <c r="A410" s="617" t="s">
        <v>410</v>
      </c>
      <c r="B410" s="569" t="s">
        <v>2409</v>
      </c>
      <c r="C410" s="617" t="s">
        <v>2410</v>
      </c>
      <c r="D410" s="552" t="str">
        <f aca="false">A410&amp;" "&amp;HLOOKUP($C$1,$E$1:$X$4910,ROW(D410))</f>
        <v>GIN Guinea</v>
      </c>
      <c r="E410" s="618" t="s">
        <v>409</v>
      </c>
      <c r="F410" s="549" t="s">
        <v>2411</v>
      </c>
      <c r="G410" s="556" t="s">
        <v>2411</v>
      </c>
      <c r="H410" s="549" t="s">
        <v>409</v>
      </c>
      <c r="I410" s="549" t="s">
        <v>2412</v>
      </c>
      <c r="J410" s="549" t="str">
        <f aca="false">"[pt]"&amp;E410</f>
        <v>[pt]Guinea</v>
      </c>
      <c r="K410" s="549" t="str">
        <f aca="false">"[gr]"&amp;E410</f>
        <v>[gr]Guinea</v>
      </c>
      <c r="L410" s="619" t="s">
        <v>410</v>
      </c>
      <c r="M410" s="550" t="str">
        <f aca="false">IF(L410=A410,"","nix")</f>
        <v/>
      </c>
    </row>
    <row r="411" customFormat="false" ht="15.75" hidden="false" customHeight="true" outlineLevel="0" collapsed="false">
      <c r="A411" s="617" t="s">
        <v>412</v>
      </c>
      <c r="B411" s="569" t="s">
        <v>2413</v>
      </c>
      <c r="C411" s="617" t="s">
        <v>2414</v>
      </c>
      <c r="D411" s="552" t="str">
        <f aca="false">A411&amp;" "&amp;HLOOKUP($C$1,$E$1:$X$4910,ROW(D411))</f>
        <v>GMB Gambia</v>
      </c>
      <c r="E411" s="618" t="s">
        <v>2415</v>
      </c>
      <c r="F411" s="549" t="s">
        <v>2416</v>
      </c>
      <c r="G411" s="556" t="s">
        <v>2416</v>
      </c>
      <c r="H411" s="549" t="s">
        <v>2415</v>
      </c>
      <c r="I411" s="549" t="s">
        <v>2417</v>
      </c>
      <c r="J411" s="549" t="str">
        <f aca="false">"[pt]"&amp;E411</f>
        <v>[pt]Gambia</v>
      </c>
      <c r="K411" s="549" t="str">
        <f aca="false">"[gr]"&amp;E411</f>
        <v>[gr]Gambia</v>
      </c>
      <c r="L411" s="619" t="s">
        <v>412</v>
      </c>
      <c r="M411" s="550" t="str">
        <f aca="false">IF(L411=A411,"","nix")</f>
        <v/>
      </c>
    </row>
    <row r="412" customFormat="false" ht="28.5" hidden="false" customHeight="true" outlineLevel="0" collapsed="false">
      <c r="A412" s="617" t="s">
        <v>414</v>
      </c>
      <c r="B412" s="569" t="s">
        <v>2418</v>
      </c>
      <c r="C412" s="617" t="s">
        <v>2419</v>
      </c>
      <c r="D412" s="552" t="str">
        <f aca="false">A412&amp;" "&amp;HLOOKUP($C$1,$E$1:$X$4910,ROW(D412))</f>
        <v>GNB Guinea-Bissau</v>
      </c>
      <c r="E412" s="618" t="s">
        <v>413</v>
      </c>
      <c r="F412" s="549" t="s">
        <v>2420</v>
      </c>
      <c r="G412" s="556" t="s">
        <v>2420</v>
      </c>
      <c r="H412" s="549" t="s">
        <v>2421</v>
      </c>
      <c r="I412" s="549" t="s">
        <v>2422</v>
      </c>
      <c r="J412" s="549" t="str">
        <f aca="false">"[pt]"&amp;E412</f>
        <v>[pt]Guinea-Bissau</v>
      </c>
      <c r="K412" s="549" t="str">
        <f aca="false">"[gr]"&amp;E412</f>
        <v>[gr]Guinea-Bissau</v>
      </c>
      <c r="L412" s="619" t="s">
        <v>414</v>
      </c>
      <c r="M412" s="550" t="str">
        <f aca="false">IF(L412=A412,"","nix")</f>
        <v/>
      </c>
    </row>
    <row r="413" customFormat="false" ht="15.75" hidden="false" customHeight="true" outlineLevel="0" collapsed="false">
      <c r="A413" s="617" t="s">
        <v>416</v>
      </c>
      <c r="B413" s="569" t="s">
        <v>2423</v>
      </c>
      <c r="C413" s="617" t="s">
        <v>2424</v>
      </c>
      <c r="D413" s="552" t="str">
        <f aca="false">A413&amp;" "&amp;HLOOKUP($C$1,$E$1:$X$4910,ROW(D413))</f>
        <v>GNQ Equatorial Guinea</v>
      </c>
      <c r="E413" s="618" t="s">
        <v>2425</v>
      </c>
      <c r="F413" s="549" t="s">
        <v>2426</v>
      </c>
      <c r="G413" s="556" t="s">
        <v>2427</v>
      </c>
      <c r="H413" s="549" t="s">
        <v>2428</v>
      </c>
      <c r="I413" s="549" t="s">
        <v>2429</v>
      </c>
      <c r="J413" s="549" t="str">
        <f aca="false">"[pt]"&amp;E413</f>
        <v>[pt]Äquatorialguinea</v>
      </c>
      <c r="K413" s="549" t="str">
        <f aca="false">"[gr]"&amp;E413</f>
        <v>[gr]Äquatorialguinea</v>
      </c>
      <c r="L413" s="619" t="s">
        <v>416</v>
      </c>
      <c r="M413" s="550" t="str">
        <f aca="false">IF(L413=A413,"","nix")</f>
        <v/>
      </c>
    </row>
    <row r="414" customFormat="false" ht="15.75" hidden="false" customHeight="true" outlineLevel="0" collapsed="false">
      <c r="A414" s="617" t="s">
        <v>418</v>
      </c>
      <c r="B414" s="569" t="s">
        <v>2430</v>
      </c>
      <c r="C414" s="617" t="s">
        <v>2431</v>
      </c>
      <c r="D414" s="552" t="str">
        <f aca="false">A414&amp;" "&amp;HLOOKUP($C$1,$E$1:$X$4910,ROW(D414))</f>
        <v>GRC Greece</v>
      </c>
      <c r="E414" s="618" t="s">
        <v>2432</v>
      </c>
      <c r="F414" s="549" t="s">
        <v>2433</v>
      </c>
      <c r="G414" s="556" t="s">
        <v>2434</v>
      </c>
      <c r="H414" s="549" t="s">
        <v>2435</v>
      </c>
      <c r="I414" s="549" t="s">
        <v>2436</v>
      </c>
      <c r="J414" s="549" t="str">
        <f aca="false">"[pt]"&amp;E414</f>
        <v>[pt]Griechenland</v>
      </c>
      <c r="K414" s="549" t="str">
        <f aca="false">"[gr]"&amp;E414</f>
        <v>[gr]Griechenland</v>
      </c>
      <c r="L414" s="619" t="s">
        <v>418</v>
      </c>
      <c r="M414" s="550" t="str">
        <f aca="false">IF(L414=A414,"","nix")</f>
        <v/>
      </c>
    </row>
    <row r="415" customFormat="false" ht="15.75" hidden="false" customHeight="true" outlineLevel="0" collapsed="false">
      <c r="A415" s="617" t="s">
        <v>420</v>
      </c>
      <c r="B415" s="569" t="s">
        <v>2437</v>
      </c>
      <c r="C415" s="617" t="s">
        <v>2438</v>
      </c>
      <c r="D415" s="552" t="str">
        <f aca="false">A415&amp;" "&amp;HLOOKUP($C$1,$E$1:$X$4910,ROW(D415))</f>
        <v>GRD Grenada</v>
      </c>
      <c r="E415" s="618" t="s">
        <v>419</v>
      </c>
      <c r="F415" s="549" t="s">
        <v>2439</v>
      </c>
      <c r="G415" s="556" t="s">
        <v>2439</v>
      </c>
      <c r="H415" s="549" t="s">
        <v>2440</v>
      </c>
      <c r="I415" s="549" t="s">
        <v>2441</v>
      </c>
      <c r="J415" s="549" t="str">
        <f aca="false">"[pt]"&amp;E415</f>
        <v>[pt]Grenada</v>
      </c>
      <c r="K415" s="549" t="str">
        <f aca="false">"[gr]"&amp;E415</f>
        <v>[gr]Grenada</v>
      </c>
      <c r="L415" s="619" t="s">
        <v>420</v>
      </c>
      <c r="M415" s="550" t="str">
        <f aca="false">IF(L415=A415,"","nix")</f>
        <v/>
      </c>
    </row>
    <row r="416" customFormat="false" ht="15.75" hidden="false" customHeight="true" outlineLevel="0" collapsed="false">
      <c r="A416" s="617" t="s">
        <v>422</v>
      </c>
      <c r="B416" s="569" t="s">
        <v>2442</v>
      </c>
      <c r="C416" s="617" t="s">
        <v>2443</v>
      </c>
      <c r="D416" s="552" t="str">
        <f aca="false">A416&amp;" "&amp;HLOOKUP($C$1,$E$1:$X$4910,ROW(D416))</f>
        <v>GRL Greenland</v>
      </c>
      <c r="E416" s="618" t="s">
        <v>2444</v>
      </c>
      <c r="F416" s="549" t="s">
        <v>2445</v>
      </c>
      <c r="G416" s="556" t="s">
        <v>2446</v>
      </c>
      <c r="H416" s="549" t="s">
        <v>2447</v>
      </c>
      <c r="I416" s="549" t="s">
        <v>2448</v>
      </c>
      <c r="J416" s="549" t="str">
        <f aca="false">"[pt]"&amp;E416</f>
        <v>[pt]Grönland</v>
      </c>
      <c r="K416" s="549" t="str">
        <f aca="false">"[gr]"&amp;E416</f>
        <v>[gr]Grönland</v>
      </c>
      <c r="L416" s="619" t="s">
        <v>422</v>
      </c>
      <c r="M416" s="550" t="str">
        <f aca="false">IF(L416=A416,"","nix")</f>
        <v/>
      </c>
    </row>
    <row r="417" customFormat="false" ht="15.75" hidden="false" customHeight="true" outlineLevel="0" collapsed="false">
      <c r="A417" s="617" t="s">
        <v>424</v>
      </c>
      <c r="B417" s="569" t="s">
        <v>2449</v>
      </c>
      <c r="C417" s="617" t="s">
        <v>2450</v>
      </c>
      <c r="D417" s="552" t="str">
        <f aca="false">A417&amp;" "&amp;HLOOKUP($C$1,$E$1:$X$4910,ROW(D417))</f>
        <v>GTM Guatemala</v>
      </c>
      <c r="E417" s="618" t="s">
        <v>423</v>
      </c>
      <c r="F417" s="549" t="s">
        <v>2451</v>
      </c>
      <c r="G417" s="556" t="s">
        <v>2451</v>
      </c>
      <c r="H417" s="549" t="s">
        <v>423</v>
      </c>
      <c r="I417" s="549" t="s">
        <v>2452</v>
      </c>
      <c r="J417" s="549" t="str">
        <f aca="false">"[pt]"&amp;E417</f>
        <v>[pt]Guatemala</v>
      </c>
      <c r="K417" s="549" t="str">
        <f aca="false">"[gr]"&amp;E417</f>
        <v>[gr]Guatemala</v>
      </c>
      <c r="L417" s="619" t="s">
        <v>424</v>
      </c>
      <c r="M417" s="550" t="str">
        <f aca="false">IF(L417=A417,"","nix")</f>
        <v/>
      </c>
    </row>
    <row r="418" customFormat="false" ht="15.75" hidden="false" customHeight="true" outlineLevel="0" collapsed="false">
      <c r="A418" s="617" t="s">
        <v>426</v>
      </c>
      <c r="B418" s="569" t="s">
        <v>2453</v>
      </c>
      <c r="C418" s="617" t="s">
        <v>2454</v>
      </c>
      <c r="D418" s="552" t="str">
        <f aca="false">A418&amp;" "&amp;HLOOKUP($C$1,$E$1:$X$4910,ROW(D418))</f>
        <v>GUM Guam</v>
      </c>
      <c r="E418" s="618" t="s">
        <v>425</v>
      </c>
      <c r="F418" s="549" t="s">
        <v>2455</v>
      </c>
      <c r="G418" s="556" t="s">
        <v>2455</v>
      </c>
      <c r="H418" s="549" t="s">
        <v>425</v>
      </c>
      <c r="I418" s="549" t="s">
        <v>425</v>
      </c>
      <c r="J418" s="549" t="str">
        <f aca="false">"[pt]"&amp;E418</f>
        <v>[pt]Guam</v>
      </c>
      <c r="K418" s="549" t="str">
        <f aca="false">"[gr]"&amp;E418</f>
        <v>[gr]Guam</v>
      </c>
      <c r="L418" s="619" t="s">
        <v>426</v>
      </c>
      <c r="M418" s="550" t="str">
        <f aca="false">IF(L418=A418,"","nix")</f>
        <v/>
      </c>
    </row>
    <row r="419" customFormat="false" ht="15.75" hidden="false" customHeight="true" outlineLevel="0" collapsed="false">
      <c r="A419" s="617" t="s">
        <v>428</v>
      </c>
      <c r="B419" s="569" t="s">
        <v>2456</v>
      </c>
      <c r="C419" s="617" t="s">
        <v>2457</v>
      </c>
      <c r="D419" s="552" t="str">
        <f aca="false">A419&amp;" "&amp;HLOOKUP($C$1,$E$1:$X$4910,ROW(D419))</f>
        <v>GUY Guyana</v>
      </c>
      <c r="E419" s="618" t="s">
        <v>427</v>
      </c>
      <c r="F419" s="549" t="s">
        <v>2458</v>
      </c>
      <c r="G419" s="556" t="s">
        <v>2458</v>
      </c>
      <c r="H419" s="549" t="s">
        <v>427</v>
      </c>
      <c r="I419" s="549" t="s">
        <v>2459</v>
      </c>
      <c r="J419" s="549" t="str">
        <f aca="false">"[pt]"&amp;E419</f>
        <v>[pt]Guyana</v>
      </c>
      <c r="K419" s="549" t="str">
        <f aca="false">"[gr]"&amp;E419</f>
        <v>[gr]Guyana</v>
      </c>
      <c r="L419" s="619" t="s">
        <v>428</v>
      </c>
      <c r="M419" s="550" t="str">
        <f aca="false">IF(L419=A419,"","nix")</f>
        <v/>
      </c>
    </row>
    <row r="420" customFormat="false" ht="15.75" hidden="false" customHeight="true" outlineLevel="0" collapsed="false">
      <c r="A420" s="617" t="s">
        <v>430</v>
      </c>
      <c r="B420" s="569" t="s">
        <v>2460</v>
      </c>
      <c r="C420" s="617" t="s">
        <v>2461</v>
      </c>
      <c r="D420" s="552" t="str">
        <f aca="false">A420&amp;" "&amp;HLOOKUP($C$1,$E$1:$X$4910,ROW(D420))</f>
        <v>HKG Hong Kong</v>
      </c>
      <c r="E420" s="618" t="s">
        <v>2462</v>
      </c>
      <c r="F420" s="549" t="s">
        <v>2463</v>
      </c>
      <c r="G420" s="556" t="s">
        <v>2463</v>
      </c>
      <c r="H420" s="549" t="s">
        <v>2464</v>
      </c>
      <c r="I420" s="549" t="s">
        <v>2464</v>
      </c>
      <c r="J420" s="549" t="str">
        <f aca="false">"[pt]"&amp;E420</f>
        <v>[pt]Hongkong</v>
      </c>
      <c r="K420" s="549" t="str">
        <f aca="false">"[gr]"&amp;E420</f>
        <v>[gr]Hongkong</v>
      </c>
      <c r="L420" s="619" t="s">
        <v>430</v>
      </c>
      <c r="M420" s="550" t="str">
        <f aca="false">IF(L420=A420,"","nix")</f>
        <v/>
      </c>
    </row>
    <row r="421" customFormat="false" ht="15.75" hidden="false" customHeight="true" outlineLevel="0" collapsed="false">
      <c r="A421" s="617" t="s">
        <v>432</v>
      </c>
      <c r="B421" s="569" t="s">
        <v>2465</v>
      </c>
      <c r="C421" s="617" t="s">
        <v>2466</v>
      </c>
      <c r="D421" s="552" t="str">
        <f aca="false">A421&amp;" "&amp;HLOOKUP($C$1,$E$1:$X$4910,ROW(D421))</f>
        <v>HND Honduras</v>
      </c>
      <c r="E421" s="618" t="s">
        <v>431</v>
      </c>
      <c r="F421" s="549" t="s">
        <v>2467</v>
      </c>
      <c r="G421" s="556" t="s">
        <v>2467</v>
      </c>
      <c r="H421" s="549" t="s">
        <v>431</v>
      </c>
      <c r="I421" s="549" t="s">
        <v>431</v>
      </c>
      <c r="J421" s="549" t="str">
        <f aca="false">"[pt]"&amp;E421</f>
        <v>[pt]Honduras</v>
      </c>
      <c r="K421" s="549" t="str">
        <f aca="false">"[gr]"&amp;E421</f>
        <v>[gr]Honduras</v>
      </c>
      <c r="L421" s="619" t="s">
        <v>432</v>
      </c>
      <c r="M421" s="550" t="str">
        <f aca="false">IF(L421=A421,"","nix")</f>
        <v/>
      </c>
    </row>
    <row r="422" customFormat="false" ht="15.75" hidden="false" customHeight="true" outlineLevel="0" collapsed="false">
      <c r="A422" s="617" t="s">
        <v>434</v>
      </c>
      <c r="B422" s="569" t="s">
        <v>2468</v>
      </c>
      <c r="C422" s="617" t="s">
        <v>2469</v>
      </c>
      <c r="D422" s="552" t="str">
        <f aca="false">A422&amp;" "&amp;HLOOKUP($C$1,$E$1:$X$4910,ROW(D422))</f>
        <v>HRV Croatia</v>
      </c>
      <c r="E422" s="618" t="s">
        <v>2470</v>
      </c>
      <c r="F422" s="549" t="s">
        <v>2471</v>
      </c>
      <c r="G422" s="556" t="s">
        <v>2472</v>
      </c>
      <c r="H422" s="549" t="s">
        <v>2473</v>
      </c>
      <c r="I422" s="549" t="s">
        <v>2474</v>
      </c>
      <c r="J422" s="549" t="str">
        <f aca="false">"[pt]"&amp;E422</f>
        <v>[pt]Kroatien</v>
      </c>
      <c r="K422" s="549" t="str">
        <f aca="false">"[gr]"&amp;E422</f>
        <v>[gr]Kroatien</v>
      </c>
      <c r="L422" s="619" t="s">
        <v>434</v>
      </c>
      <c r="M422" s="550" t="str">
        <f aca="false">IF(L422=A422,"","nix")</f>
        <v/>
      </c>
    </row>
    <row r="423" customFormat="false" ht="15.75" hidden="false" customHeight="true" outlineLevel="0" collapsed="false">
      <c r="A423" s="617" t="s">
        <v>436</v>
      </c>
      <c r="B423" s="569" t="s">
        <v>2475</v>
      </c>
      <c r="C423" s="617" t="s">
        <v>2476</v>
      </c>
      <c r="D423" s="552" t="str">
        <f aca="false">A423&amp;" "&amp;HLOOKUP($C$1,$E$1:$X$4910,ROW(D423))</f>
        <v>HTI Haiti</v>
      </c>
      <c r="E423" s="618" t="s">
        <v>435</v>
      </c>
      <c r="F423" s="549" t="s">
        <v>2477</v>
      </c>
      <c r="G423" s="556" t="s">
        <v>2477</v>
      </c>
      <c r="H423" s="549" t="s">
        <v>2478</v>
      </c>
      <c r="I423" s="549" t="s">
        <v>2479</v>
      </c>
      <c r="J423" s="549" t="str">
        <f aca="false">"[pt]"&amp;E423</f>
        <v>[pt]Haiti</v>
      </c>
      <c r="K423" s="549" t="str">
        <f aca="false">"[gr]"&amp;E423</f>
        <v>[gr]Haiti</v>
      </c>
      <c r="L423" s="619" t="s">
        <v>436</v>
      </c>
      <c r="M423" s="550" t="str">
        <f aca="false">IF(L423=A423,"","nix")</f>
        <v/>
      </c>
    </row>
    <row r="424" customFormat="false" ht="15.75" hidden="false" customHeight="true" outlineLevel="0" collapsed="false">
      <c r="A424" s="617" t="s">
        <v>438</v>
      </c>
      <c r="B424" s="569" t="s">
        <v>2480</v>
      </c>
      <c r="C424" s="617" t="s">
        <v>2481</v>
      </c>
      <c r="D424" s="552" t="str">
        <f aca="false">A424&amp;" "&amp;HLOOKUP($C$1,$E$1:$X$4910,ROW(D424))</f>
        <v>HUN Hungary</v>
      </c>
      <c r="E424" s="618" t="s">
        <v>2482</v>
      </c>
      <c r="F424" s="549" t="s">
        <v>2483</v>
      </c>
      <c r="G424" s="556" t="s">
        <v>2484</v>
      </c>
      <c r="H424" s="549" t="s">
        <v>2485</v>
      </c>
      <c r="I424" s="549" t="s">
        <v>2486</v>
      </c>
      <c r="J424" s="549" t="str">
        <f aca="false">"[pt]"&amp;E424</f>
        <v>[pt]Ungarn</v>
      </c>
      <c r="K424" s="549" t="str">
        <f aca="false">"[gr]"&amp;E424</f>
        <v>[gr]Ungarn</v>
      </c>
      <c r="L424" s="619" t="s">
        <v>438</v>
      </c>
      <c r="M424" s="550" t="str">
        <f aca="false">IF(L424=A424,"","nix")</f>
        <v/>
      </c>
    </row>
    <row r="425" customFormat="false" ht="15.75" hidden="false" customHeight="true" outlineLevel="0" collapsed="false">
      <c r="A425" s="617" t="s">
        <v>440</v>
      </c>
      <c r="B425" s="569" t="s">
        <v>2487</v>
      </c>
      <c r="C425" s="617" t="s">
        <v>2488</v>
      </c>
      <c r="D425" s="552" t="str">
        <f aca="false">A425&amp;" "&amp;HLOOKUP($C$1,$E$1:$X$4910,ROW(D425))</f>
        <v>IDN Indonesia</v>
      </c>
      <c r="E425" s="618" t="s">
        <v>2489</v>
      </c>
      <c r="F425" s="549" t="s">
        <v>2490</v>
      </c>
      <c r="G425" s="620" t="s">
        <v>2490</v>
      </c>
      <c r="H425" s="620" t="s">
        <v>439</v>
      </c>
      <c r="I425" s="620" t="s">
        <v>2491</v>
      </c>
      <c r="J425" s="549" t="str">
        <f aca="false">"[pt]"&amp;E425</f>
        <v>[pt]Indonesien</v>
      </c>
      <c r="K425" s="549" t="str">
        <f aca="false">"[gr]"&amp;E425</f>
        <v>[gr]Indonesien</v>
      </c>
      <c r="L425" s="619" t="s">
        <v>440</v>
      </c>
      <c r="M425" s="550" t="str">
        <f aca="false">IF(L425=A425,"","nix")</f>
        <v/>
      </c>
    </row>
    <row r="426" customFormat="false" ht="15.75" hidden="false" customHeight="true" outlineLevel="0" collapsed="false">
      <c r="A426" s="617" t="s">
        <v>442</v>
      </c>
      <c r="B426" s="569" t="s">
        <v>2492</v>
      </c>
      <c r="C426" s="617" t="s">
        <v>2493</v>
      </c>
      <c r="D426" s="552" t="str">
        <f aca="false">A426&amp;" "&amp;HLOOKUP($C$1,$E$1:$X$4910,ROW(D426))</f>
        <v>IMN Isle of Man</v>
      </c>
      <c r="E426" s="548" t="s">
        <v>2494</v>
      </c>
      <c r="F426" s="549" t="s">
        <v>2495</v>
      </c>
      <c r="G426" s="548" t="s">
        <v>2496</v>
      </c>
      <c r="H426" s="548" t="s">
        <v>2497</v>
      </c>
      <c r="I426" s="548" t="s">
        <v>2498</v>
      </c>
      <c r="J426" s="549" t="str">
        <f aca="false">"[pt]"&amp;E426</f>
        <v>[pt]Insel Man</v>
      </c>
      <c r="K426" s="549" t="str">
        <f aca="false">"[gr]"&amp;E426</f>
        <v>[gr]Insel Man</v>
      </c>
      <c r="L426" s="619" t="s">
        <v>442</v>
      </c>
      <c r="M426" s="550" t="str">
        <f aca="false">IF(L426=A426,"","nix")</f>
        <v/>
      </c>
    </row>
    <row r="427" customFormat="false" ht="15.75" hidden="false" customHeight="true" outlineLevel="0" collapsed="false">
      <c r="A427" s="617" t="s">
        <v>444</v>
      </c>
      <c r="B427" s="569" t="s">
        <v>2499</v>
      </c>
      <c r="C427" s="617" t="s">
        <v>2500</v>
      </c>
      <c r="D427" s="552" t="str">
        <f aca="false">A427&amp;" "&amp;HLOOKUP($C$1,$E$1:$X$4910,ROW(D427))</f>
        <v>IND India</v>
      </c>
      <c r="E427" s="548" t="s">
        <v>2501</v>
      </c>
      <c r="F427" s="549" t="s">
        <v>2502</v>
      </c>
      <c r="G427" s="548" t="s">
        <v>2502</v>
      </c>
      <c r="H427" s="548" t="s">
        <v>443</v>
      </c>
      <c r="I427" s="548" t="s">
        <v>2503</v>
      </c>
      <c r="J427" s="549" t="str">
        <f aca="false">"[pt]"&amp;E427</f>
        <v>[pt]Indien</v>
      </c>
      <c r="K427" s="549" t="str">
        <f aca="false">"[gr]"&amp;E427</f>
        <v>[gr]Indien</v>
      </c>
      <c r="L427" s="619" t="s">
        <v>444</v>
      </c>
      <c r="M427" s="550" t="str">
        <f aca="false">IF(L427=A427,"","nix")</f>
        <v/>
      </c>
    </row>
    <row r="428" customFormat="false" ht="15.75" hidden="false" customHeight="true" outlineLevel="0" collapsed="false">
      <c r="A428" s="617" t="s">
        <v>446</v>
      </c>
      <c r="B428" s="569" t="s">
        <v>2504</v>
      </c>
      <c r="C428" s="617" t="s">
        <v>2505</v>
      </c>
      <c r="D428" s="552" t="str">
        <f aca="false">A428&amp;" "&amp;HLOOKUP($C$1,$E$1:$X$4910,ROW(D428))</f>
        <v>IRL Ireland</v>
      </c>
      <c r="E428" s="618" t="s">
        <v>2506</v>
      </c>
      <c r="F428" s="549" t="s">
        <v>2507</v>
      </c>
      <c r="G428" s="620" t="s">
        <v>2508</v>
      </c>
      <c r="H428" s="620" t="s">
        <v>2509</v>
      </c>
      <c r="I428" s="620" t="s">
        <v>2510</v>
      </c>
      <c r="J428" s="549" t="str">
        <f aca="false">"[pt]"&amp;E428</f>
        <v>[pt]Irland</v>
      </c>
      <c r="K428" s="549" t="str">
        <f aca="false">"[gr]"&amp;E428</f>
        <v>[gr]Irland</v>
      </c>
      <c r="L428" s="619" t="s">
        <v>446</v>
      </c>
      <c r="M428" s="550" t="str">
        <f aca="false">IF(L428=A428,"","nix")</f>
        <v/>
      </c>
    </row>
    <row r="429" customFormat="false" ht="15.75" hidden="false" customHeight="true" outlineLevel="0" collapsed="false">
      <c r="A429" s="617" t="s">
        <v>448</v>
      </c>
      <c r="B429" s="569" t="s">
        <v>2511</v>
      </c>
      <c r="C429" s="617" t="s">
        <v>2512</v>
      </c>
      <c r="D429" s="552" t="str">
        <f aca="false">A429&amp;" "&amp;HLOOKUP($C$1,$E$1:$X$4910,ROW(D429))</f>
        <v>IRN Iran, Islamic Republic of</v>
      </c>
      <c r="E429" s="548" t="s">
        <v>2513</v>
      </c>
      <c r="F429" s="549" t="s">
        <v>2514</v>
      </c>
      <c r="G429" s="548" t="s">
        <v>2515</v>
      </c>
      <c r="H429" s="548" t="s">
        <v>2516</v>
      </c>
      <c r="I429" s="548" t="s">
        <v>2517</v>
      </c>
      <c r="J429" s="549" t="str">
        <f aca="false">"[pt]"&amp;E429</f>
        <v>[pt]Iran, Islamische Republik</v>
      </c>
      <c r="K429" s="549" t="str">
        <f aca="false">"[gr]"&amp;E429</f>
        <v>[gr]Iran, Islamische Republik</v>
      </c>
      <c r="L429" s="619" t="s">
        <v>448</v>
      </c>
      <c r="M429" s="550" t="str">
        <f aca="false">IF(L429=A429,"","nix")</f>
        <v/>
      </c>
    </row>
    <row r="430" customFormat="false" ht="15.75" hidden="false" customHeight="true" outlineLevel="0" collapsed="false">
      <c r="A430" s="617" t="s">
        <v>450</v>
      </c>
      <c r="B430" s="569" t="s">
        <v>2518</v>
      </c>
      <c r="C430" s="617" t="s">
        <v>2519</v>
      </c>
      <c r="D430" s="552" t="str">
        <f aca="false">A430&amp;" "&amp;HLOOKUP($C$1,$E$1:$X$4910,ROW(D430))</f>
        <v>IRQ Iraq</v>
      </c>
      <c r="E430" s="548" t="s">
        <v>2520</v>
      </c>
      <c r="F430" s="549" t="s">
        <v>2521</v>
      </c>
      <c r="G430" s="548" t="s">
        <v>2521</v>
      </c>
      <c r="H430" s="548" t="s">
        <v>2520</v>
      </c>
      <c r="I430" s="548" t="s">
        <v>2520</v>
      </c>
      <c r="J430" s="549" t="str">
        <f aca="false">"[pt]"&amp;E430</f>
        <v>[pt]Irak</v>
      </c>
      <c r="K430" s="549" t="str">
        <f aca="false">"[gr]"&amp;E430</f>
        <v>[gr]Irak</v>
      </c>
      <c r="L430" s="619" t="s">
        <v>450</v>
      </c>
      <c r="M430" s="550" t="str">
        <f aca="false">IF(L430=A430,"","nix")</f>
        <v/>
      </c>
    </row>
    <row r="431" customFormat="false" ht="15.75" hidden="false" customHeight="true" outlineLevel="0" collapsed="false">
      <c r="A431" s="617" t="s">
        <v>452</v>
      </c>
      <c r="B431" s="569" t="s">
        <v>2522</v>
      </c>
      <c r="C431" s="617" t="s">
        <v>2523</v>
      </c>
      <c r="D431" s="552" t="str">
        <f aca="false">A431&amp;" "&amp;HLOOKUP($C$1,$E$1:$X$4910,ROW(D431))</f>
        <v>ISL Iceland</v>
      </c>
      <c r="E431" s="548" t="s">
        <v>2524</v>
      </c>
      <c r="F431" s="549" t="s">
        <v>2525</v>
      </c>
      <c r="G431" s="548" t="s">
        <v>2526</v>
      </c>
      <c r="H431" s="548" t="s">
        <v>2527</v>
      </c>
      <c r="I431" s="548" t="s">
        <v>2528</v>
      </c>
      <c r="J431" s="549" t="str">
        <f aca="false">"[pt]"&amp;E431</f>
        <v>[pt]Island</v>
      </c>
      <c r="K431" s="549" t="str">
        <f aca="false">"[gr]"&amp;E431</f>
        <v>[gr]Island</v>
      </c>
      <c r="L431" s="619" t="s">
        <v>452</v>
      </c>
      <c r="M431" s="550" t="str">
        <f aca="false">IF(L431=A431,"","nix")</f>
        <v/>
      </c>
    </row>
    <row r="432" customFormat="false" ht="15.75" hidden="false" customHeight="true" outlineLevel="0" collapsed="false">
      <c r="A432" s="617" t="s">
        <v>454</v>
      </c>
      <c r="B432" s="569" t="s">
        <v>2529</v>
      </c>
      <c r="C432" s="617" t="s">
        <v>2530</v>
      </c>
      <c r="D432" s="552" t="str">
        <f aca="false">A432&amp;" "&amp;HLOOKUP($C$1,$E$1:$X$4910,ROW(D432))</f>
        <v>ISR Israel</v>
      </c>
      <c r="E432" s="548" t="s">
        <v>453</v>
      </c>
      <c r="F432" s="549" t="s">
        <v>2531</v>
      </c>
      <c r="G432" s="548" t="s">
        <v>2532</v>
      </c>
      <c r="H432" s="548" t="s">
        <v>453</v>
      </c>
      <c r="I432" s="548" t="s">
        <v>2533</v>
      </c>
      <c r="J432" s="549" t="str">
        <f aca="false">"[pt]"&amp;E432</f>
        <v>[pt]Israel</v>
      </c>
      <c r="K432" s="549" t="str">
        <f aca="false">"[gr]"&amp;E432</f>
        <v>[gr]Israel</v>
      </c>
      <c r="L432" s="619" t="s">
        <v>454</v>
      </c>
      <c r="M432" s="550" t="str">
        <f aca="false">IF(L432=A432,"","nix")</f>
        <v/>
      </c>
    </row>
    <row r="433" customFormat="false" ht="15.75" hidden="false" customHeight="true" outlineLevel="0" collapsed="false">
      <c r="A433" s="617" t="s">
        <v>456</v>
      </c>
      <c r="B433" s="569" t="s">
        <v>2534</v>
      </c>
      <c r="C433" s="617" t="s">
        <v>2535</v>
      </c>
      <c r="D433" s="552" t="str">
        <f aca="false">A433&amp;" "&amp;HLOOKUP($C$1,$E$1:$X$4910,ROW(D433))</f>
        <v>ITA Italy</v>
      </c>
      <c r="E433" s="548" t="s">
        <v>2536</v>
      </c>
      <c r="F433" s="549" t="s">
        <v>2537</v>
      </c>
      <c r="G433" s="548" t="s">
        <v>2538</v>
      </c>
      <c r="H433" s="548" t="s">
        <v>2539</v>
      </c>
      <c r="I433" s="548" t="s">
        <v>2540</v>
      </c>
      <c r="J433" s="549" t="str">
        <f aca="false">"[pt]"&amp;E433</f>
        <v>[pt]Italien</v>
      </c>
      <c r="K433" s="549" t="str">
        <f aca="false">"[gr]"&amp;E433</f>
        <v>[gr]Italien</v>
      </c>
      <c r="L433" s="619" t="s">
        <v>456</v>
      </c>
      <c r="M433" s="550" t="str">
        <f aca="false">IF(L433=A433,"","nix")</f>
        <v/>
      </c>
    </row>
    <row r="434" customFormat="false" ht="15.75" hidden="false" customHeight="true" outlineLevel="0" collapsed="false">
      <c r="A434" s="617" t="s">
        <v>458</v>
      </c>
      <c r="B434" s="569" t="s">
        <v>2541</v>
      </c>
      <c r="C434" s="617" t="s">
        <v>2542</v>
      </c>
      <c r="D434" s="552" t="str">
        <f aca="false">A434&amp;" "&amp;HLOOKUP($C$1,$E$1:$X$4910,ROW(D434))</f>
        <v>JAM Jamaica</v>
      </c>
      <c r="E434" s="548" t="s">
        <v>2543</v>
      </c>
      <c r="F434" s="549" t="s">
        <v>2544</v>
      </c>
      <c r="G434" s="548" t="s">
        <v>2545</v>
      </c>
      <c r="H434" s="548" t="s">
        <v>457</v>
      </c>
      <c r="I434" s="548" t="s">
        <v>2546</v>
      </c>
      <c r="J434" s="549" t="str">
        <f aca="false">"[pt]"&amp;E434</f>
        <v>[pt]Jamaika</v>
      </c>
      <c r="K434" s="549" t="str">
        <f aca="false">"[gr]"&amp;E434</f>
        <v>[gr]Jamaika</v>
      </c>
      <c r="L434" s="619" t="s">
        <v>458</v>
      </c>
      <c r="M434" s="550" t="str">
        <f aca="false">IF(L434=A434,"","nix")</f>
        <v/>
      </c>
    </row>
    <row r="435" customFormat="false" ht="15.75" hidden="false" customHeight="true" outlineLevel="0" collapsed="false">
      <c r="A435" s="617" t="s">
        <v>460</v>
      </c>
      <c r="B435" s="569" t="s">
        <v>2547</v>
      </c>
      <c r="C435" s="617" t="s">
        <v>2548</v>
      </c>
      <c r="D435" s="552" t="str">
        <f aca="false">A435&amp;" "&amp;HLOOKUP($C$1,$E$1:$X$4910,ROW(D435))</f>
        <v>JOR Jordan</v>
      </c>
      <c r="E435" s="548" t="s">
        <v>2549</v>
      </c>
      <c r="F435" s="549" t="s">
        <v>2550</v>
      </c>
      <c r="G435" s="548" t="s">
        <v>2551</v>
      </c>
      <c r="H435" s="548" t="s">
        <v>2552</v>
      </c>
      <c r="I435" s="548" t="s">
        <v>2553</v>
      </c>
      <c r="J435" s="549" t="str">
        <f aca="false">"[pt]"&amp;E435</f>
        <v>[pt]Jordanien</v>
      </c>
      <c r="K435" s="549" t="str">
        <f aca="false">"[gr]"&amp;E435</f>
        <v>[gr]Jordanien</v>
      </c>
      <c r="L435" s="619" t="s">
        <v>460</v>
      </c>
      <c r="M435" s="550" t="str">
        <f aca="false">IF(L435=A435,"","nix")</f>
        <v/>
      </c>
    </row>
    <row r="436" customFormat="false" ht="15.75" hidden="false" customHeight="true" outlineLevel="0" collapsed="false">
      <c r="A436" s="617" t="s">
        <v>462</v>
      </c>
      <c r="B436" s="569" t="s">
        <v>2554</v>
      </c>
      <c r="C436" s="617" t="s">
        <v>2555</v>
      </c>
      <c r="D436" s="552" t="str">
        <f aca="false">A436&amp;" "&amp;HLOOKUP($C$1,$E$1:$X$4910,ROW(D436))</f>
        <v>JPN Japan</v>
      </c>
      <c r="E436" s="548" t="s">
        <v>461</v>
      </c>
      <c r="F436" s="549" t="s">
        <v>2556</v>
      </c>
      <c r="G436" s="548" t="s">
        <v>2557</v>
      </c>
      <c r="H436" s="548" t="s">
        <v>2558</v>
      </c>
      <c r="I436" s="548" t="s">
        <v>2559</v>
      </c>
      <c r="J436" s="549" t="str">
        <f aca="false">"[pt]"&amp;E436</f>
        <v>[pt]Japan</v>
      </c>
      <c r="K436" s="549" t="str">
        <f aca="false">"[gr]"&amp;E436</f>
        <v>[gr]Japan</v>
      </c>
      <c r="L436" s="619" t="s">
        <v>462</v>
      </c>
      <c r="M436" s="550" t="str">
        <f aca="false">IF(L436=A436,"","nix")</f>
        <v/>
      </c>
    </row>
    <row r="437" customFormat="false" ht="15.75" hidden="false" customHeight="true" outlineLevel="0" collapsed="false">
      <c r="A437" s="617" t="s">
        <v>464</v>
      </c>
      <c r="B437" s="569" t="s">
        <v>2560</v>
      </c>
      <c r="C437" s="617" t="s">
        <v>2561</v>
      </c>
      <c r="D437" s="552" t="str">
        <f aca="false">A437&amp;" "&amp;HLOOKUP($C$1,$E$1:$X$4910,ROW(D437))</f>
        <v>KAZ Kazakhstan</v>
      </c>
      <c r="E437" s="548" t="s">
        <v>2562</v>
      </c>
      <c r="F437" s="549" t="s">
        <v>2563</v>
      </c>
      <c r="G437" s="548" t="s">
        <v>2564</v>
      </c>
      <c r="H437" s="548" t="s">
        <v>2565</v>
      </c>
      <c r="I437" s="548" t="s">
        <v>463</v>
      </c>
      <c r="J437" s="549" t="str">
        <f aca="false">"[pt]"&amp;E437</f>
        <v>[pt]Kasachstan</v>
      </c>
      <c r="K437" s="549" t="str">
        <f aca="false">"[gr]"&amp;E437</f>
        <v>[gr]Kasachstan</v>
      </c>
      <c r="L437" s="619" t="s">
        <v>464</v>
      </c>
      <c r="M437" s="550" t="str">
        <f aca="false">IF(L437=A437,"","nix")</f>
        <v/>
      </c>
    </row>
    <row r="438" customFormat="false" ht="15.75" hidden="false" customHeight="true" outlineLevel="0" collapsed="false">
      <c r="A438" s="617" t="s">
        <v>466</v>
      </c>
      <c r="B438" s="569" t="s">
        <v>2566</v>
      </c>
      <c r="C438" s="617" t="s">
        <v>2567</v>
      </c>
      <c r="D438" s="552" t="str">
        <f aca="false">A438&amp;" "&amp;HLOOKUP($C$1,$E$1:$X$4910,ROW(D438))</f>
        <v>KEN Kenya</v>
      </c>
      <c r="E438" s="548" t="s">
        <v>2568</v>
      </c>
      <c r="F438" s="549" t="s">
        <v>2569</v>
      </c>
      <c r="G438" s="548" t="s">
        <v>2569</v>
      </c>
      <c r="H438" s="548" t="s">
        <v>2568</v>
      </c>
      <c r="I438" s="548" t="s">
        <v>465</v>
      </c>
      <c r="J438" s="549" t="str">
        <f aca="false">"[pt]"&amp;E438</f>
        <v>[pt]Kenia</v>
      </c>
      <c r="K438" s="549" t="str">
        <f aca="false">"[gr]"&amp;E438</f>
        <v>[gr]Kenia</v>
      </c>
      <c r="L438" s="619" t="s">
        <v>466</v>
      </c>
      <c r="M438" s="550" t="str">
        <f aca="false">IF(L438=A438,"","nix")</f>
        <v/>
      </c>
    </row>
    <row r="439" customFormat="false" ht="15.75" hidden="false" customHeight="true" outlineLevel="0" collapsed="false">
      <c r="A439" s="617" t="s">
        <v>468</v>
      </c>
      <c r="B439" s="569" t="s">
        <v>2570</v>
      </c>
      <c r="C439" s="617" t="s">
        <v>2571</v>
      </c>
      <c r="D439" s="552" t="str">
        <f aca="false">A439&amp;" "&amp;HLOOKUP($C$1,$E$1:$X$4910,ROW(D439))</f>
        <v>KGZ Kyrgyzstan</v>
      </c>
      <c r="E439" s="548" t="s">
        <v>2572</v>
      </c>
      <c r="F439" s="549" t="s">
        <v>2573</v>
      </c>
      <c r="G439" s="548" t="s">
        <v>2574</v>
      </c>
      <c r="H439" s="548" t="s">
        <v>2575</v>
      </c>
      <c r="I439" s="548" t="s">
        <v>2576</v>
      </c>
      <c r="J439" s="549" t="str">
        <f aca="false">"[pt]"&amp;E439</f>
        <v>[pt]Kirgisistan</v>
      </c>
      <c r="K439" s="549" t="str">
        <f aca="false">"[gr]"&amp;E439</f>
        <v>[gr]Kirgisistan</v>
      </c>
      <c r="L439" s="619" t="s">
        <v>468</v>
      </c>
      <c r="M439" s="550" t="str">
        <f aca="false">IF(L439=A439,"","nix")</f>
        <v/>
      </c>
    </row>
    <row r="440" customFormat="false" ht="15.75" hidden="false" customHeight="true" outlineLevel="0" collapsed="false">
      <c r="A440" s="617" t="s">
        <v>470</v>
      </c>
      <c r="B440" s="569" t="s">
        <v>2577</v>
      </c>
      <c r="C440" s="617" t="s">
        <v>2578</v>
      </c>
      <c r="D440" s="552" t="str">
        <f aca="false">A440&amp;" "&amp;HLOOKUP($C$1,$E$1:$X$4910,ROW(D440))</f>
        <v>KHM Cambodia</v>
      </c>
      <c r="E440" s="548" t="s">
        <v>2579</v>
      </c>
      <c r="F440" s="549" t="s">
        <v>2580</v>
      </c>
      <c r="G440" s="548" t="s">
        <v>2581</v>
      </c>
      <c r="H440" s="548" t="s">
        <v>2582</v>
      </c>
      <c r="I440" s="548" t="s">
        <v>2583</v>
      </c>
      <c r="J440" s="549" t="str">
        <f aca="false">"[pt]"&amp;E440</f>
        <v>[pt]Kambodscha</v>
      </c>
      <c r="K440" s="549" t="str">
        <f aca="false">"[gr]"&amp;E440</f>
        <v>[gr]Kambodscha</v>
      </c>
      <c r="L440" s="619" t="s">
        <v>470</v>
      </c>
      <c r="M440" s="550" t="str">
        <f aca="false">IF(L440=A440,"","nix")</f>
        <v/>
      </c>
    </row>
    <row r="441" customFormat="false" ht="28.5" hidden="false" customHeight="true" outlineLevel="0" collapsed="false">
      <c r="A441" s="617" t="s">
        <v>472</v>
      </c>
      <c r="B441" s="569" t="s">
        <v>2584</v>
      </c>
      <c r="C441" s="617" t="s">
        <v>2585</v>
      </c>
      <c r="D441" s="552" t="str">
        <f aca="false">A441&amp;" "&amp;HLOOKUP($C$1,$E$1:$X$4910,ROW(D441))</f>
        <v>KIR Kiribati</v>
      </c>
      <c r="E441" s="548" t="s">
        <v>471</v>
      </c>
      <c r="F441" s="549" t="s">
        <v>2586</v>
      </c>
      <c r="G441" s="548" t="s">
        <v>2586</v>
      </c>
      <c r="H441" s="548" t="s">
        <v>471</v>
      </c>
      <c r="I441" s="548" t="s">
        <v>471</v>
      </c>
      <c r="J441" s="549" t="str">
        <f aca="false">"[pt]"&amp;E441</f>
        <v>[pt]Kiribati</v>
      </c>
      <c r="K441" s="549" t="str">
        <f aca="false">"[gr]"&amp;E441</f>
        <v>[gr]Kiribati</v>
      </c>
      <c r="L441" s="619" t="s">
        <v>472</v>
      </c>
      <c r="M441" s="550" t="str">
        <f aca="false">IF(L441=A441,"","nix")</f>
        <v/>
      </c>
    </row>
    <row r="442" customFormat="false" ht="15.75" hidden="false" customHeight="true" outlineLevel="0" collapsed="false">
      <c r="A442" s="617" t="s">
        <v>474</v>
      </c>
      <c r="B442" s="569" t="s">
        <v>2587</v>
      </c>
      <c r="C442" s="617" t="s">
        <v>2588</v>
      </c>
      <c r="D442" s="552" t="str">
        <f aca="false">A442&amp;" "&amp;HLOOKUP($C$1,$E$1:$X$4910,ROW(D442))</f>
        <v>KNA Saint Kitts and Nevis</v>
      </c>
      <c r="E442" s="548" t="s">
        <v>2589</v>
      </c>
      <c r="F442" s="549" t="s">
        <v>2590</v>
      </c>
      <c r="G442" s="548" t="s">
        <v>2591</v>
      </c>
      <c r="H442" s="548" t="s">
        <v>2592</v>
      </c>
      <c r="I442" s="548" t="s">
        <v>2593</v>
      </c>
      <c r="J442" s="549" t="str">
        <f aca="false">"[pt]"&amp;E442</f>
        <v>[pt]St. Kitts und Nevis</v>
      </c>
      <c r="K442" s="549" t="str">
        <f aca="false">"[gr]"&amp;E442</f>
        <v>[gr]St. Kitts und Nevis</v>
      </c>
      <c r="L442" s="619" t="s">
        <v>474</v>
      </c>
      <c r="M442" s="550" t="str">
        <f aca="false">IF(L442=A442,"","nix")</f>
        <v/>
      </c>
    </row>
    <row r="443" customFormat="false" ht="15.75" hidden="false" customHeight="true" outlineLevel="0" collapsed="false">
      <c r="A443" s="617" t="s">
        <v>476</v>
      </c>
      <c r="B443" s="569" t="s">
        <v>2594</v>
      </c>
      <c r="C443" s="617" t="s">
        <v>2595</v>
      </c>
      <c r="D443" s="552" t="str">
        <f aca="false">A443&amp;" "&amp;HLOOKUP($C$1,$E$1:$X$4910,ROW(D443))</f>
        <v>KOR Korea, Republic of</v>
      </c>
      <c r="E443" s="548" t="s">
        <v>2596</v>
      </c>
      <c r="F443" s="549" t="s">
        <v>2597</v>
      </c>
      <c r="G443" s="548" t="s">
        <v>2598</v>
      </c>
      <c r="H443" s="548" t="s">
        <v>2599</v>
      </c>
      <c r="I443" s="548" t="s">
        <v>2600</v>
      </c>
      <c r="J443" s="549" t="str">
        <f aca="false">"[pt]"&amp;E443</f>
        <v>[pt]Korea, Republik (Südkorea)</v>
      </c>
      <c r="K443" s="549" t="str">
        <f aca="false">"[gr]"&amp;E443</f>
        <v>[gr]Korea, Republik (Südkorea)</v>
      </c>
      <c r="L443" s="619" t="s">
        <v>476</v>
      </c>
      <c r="M443" s="550" t="str">
        <f aca="false">IF(L443=A443,"","nix")</f>
        <v/>
      </c>
    </row>
    <row r="444" customFormat="false" ht="15.75" hidden="false" customHeight="true" outlineLevel="0" collapsed="false">
      <c r="A444" s="617" t="s">
        <v>478</v>
      </c>
      <c r="B444" s="569" t="s">
        <v>2601</v>
      </c>
      <c r="C444" s="617" t="s">
        <v>2602</v>
      </c>
      <c r="D444" s="552" t="str">
        <f aca="false">A444&amp;" "&amp;HLOOKUP($C$1,$E$1:$X$4910,ROW(D444))</f>
        <v>KWT Kuwait</v>
      </c>
      <c r="E444" s="548" t="s">
        <v>477</v>
      </c>
      <c r="F444" s="549" t="s">
        <v>2603</v>
      </c>
      <c r="G444" s="548" t="s">
        <v>2603</v>
      </c>
      <c r="H444" s="548" t="s">
        <v>477</v>
      </c>
      <c r="I444" s="548" t="s">
        <v>2604</v>
      </c>
      <c r="J444" s="549" t="str">
        <f aca="false">"[pt]"&amp;E444</f>
        <v>[pt]Kuwait</v>
      </c>
      <c r="K444" s="549" t="str">
        <f aca="false">"[gr]"&amp;E444</f>
        <v>[gr]Kuwait</v>
      </c>
      <c r="L444" s="619" t="s">
        <v>478</v>
      </c>
      <c r="M444" s="550" t="str">
        <f aca="false">IF(L444=A444,"","nix")</f>
        <v/>
      </c>
    </row>
    <row r="445" customFormat="false" ht="15.75" hidden="false" customHeight="true" outlineLevel="0" collapsed="false">
      <c r="A445" s="617" t="s">
        <v>480</v>
      </c>
      <c r="B445" s="569" t="s">
        <v>2605</v>
      </c>
      <c r="C445" s="617" t="s">
        <v>2606</v>
      </c>
      <c r="D445" s="552" t="str">
        <f aca="false">A445&amp;" "&amp;HLOOKUP($C$1,$E$1:$X$4910,ROW(D445))</f>
        <v>LAO Lao People's Democratic Republic</v>
      </c>
      <c r="E445" s="548" t="s">
        <v>2607</v>
      </c>
      <c r="F445" s="549" t="s">
        <v>2608</v>
      </c>
      <c r="G445" s="548" t="s">
        <v>2609</v>
      </c>
      <c r="H445" s="548" t="s">
        <v>2610</v>
      </c>
      <c r="I445" s="548" t="s">
        <v>2610</v>
      </c>
      <c r="J445" s="549" t="str">
        <f aca="false">"[pt]"&amp;E445</f>
        <v>[pt]Laos, Demokratische Volksrepublik</v>
      </c>
      <c r="K445" s="549" t="str">
        <f aca="false">"[gr]"&amp;E445</f>
        <v>[gr]Laos, Demokratische Volksrepublik</v>
      </c>
      <c r="L445" s="619" t="s">
        <v>480</v>
      </c>
      <c r="M445" s="550" t="str">
        <f aca="false">IF(L445=A445,"","nix")</f>
        <v/>
      </c>
    </row>
    <row r="446" customFormat="false" ht="15.75" hidden="false" customHeight="true" outlineLevel="0" collapsed="false">
      <c r="A446" s="617" t="s">
        <v>482</v>
      </c>
      <c r="B446" s="569" t="s">
        <v>2611</v>
      </c>
      <c r="C446" s="617" t="s">
        <v>2612</v>
      </c>
      <c r="D446" s="552" t="str">
        <f aca="false">A446&amp;" "&amp;HLOOKUP($C$1,$E$1:$X$4910,ROW(D446))</f>
        <v>LBN Lebanon</v>
      </c>
      <c r="E446" s="548" t="s">
        <v>2613</v>
      </c>
      <c r="F446" s="549" t="s">
        <v>2614</v>
      </c>
      <c r="G446" s="548" t="s">
        <v>2615</v>
      </c>
      <c r="H446" s="548" t="s">
        <v>2616</v>
      </c>
      <c r="I446" s="548" t="s">
        <v>2617</v>
      </c>
      <c r="J446" s="549" t="str">
        <f aca="false">"[pt]"&amp;E446</f>
        <v>[pt]Libanon</v>
      </c>
      <c r="K446" s="549" t="str">
        <f aca="false">"[gr]"&amp;E446</f>
        <v>[gr]Libanon</v>
      </c>
      <c r="L446" s="619" t="s">
        <v>482</v>
      </c>
      <c r="M446" s="550" t="str">
        <f aca="false">IF(L446=A446,"","nix")</f>
        <v/>
      </c>
    </row>
    <row r="447" customFormat="false" ht="15.75" hidden="false" customHeight="true" outlineLevel="0" collapsed="false">
      <c r="A447" s="617" t="s">
        <v>484</v>
      </c>
      <c r="B447" s="569" t="s">
        <v>2618</v>
      </c>
      <c r="C447" s="617" t="s">
        <v>2619</v>
      </c>
      <c r="D447" s="552" t="str">
        <f aca="false">A447&amp;" "&amp;HLOOKUP($C$1,$E$1:$X$4910,ROW(D447))</f>
        <v>LBR Liberia</v>
      </c>
      <c r="E447" s="548" t="s">
        <v>483</v>
      </c>
      <c r="F447" s="549" t="s">
        <v>2620</v>
      </c>
      <c r="G447" s="548" t="s">
        <v>2620</v>
      </c>
      <c r="H447" s="548" t="s">
        <v>483</v>
      </c>
      <c r="I447" s="548" t="s">
        <v>2621</v>
      </c>
      <c r="J447" s="549" t="str">
        <f aca="false">"[pt]"&amp;E447</f>
        <v>[pt]Liberia</v>
      </c>
      <c r="K447" s="549" t="str">
        <f aca="false">"[gr]"&amp;E447</f>
        <v>[gr]Liberia</v>
      </c>
      <c r="L447" s="619" t="s">
        <v>484</v>
      </c>
      <c r="M447" s="550" t="str">
        <f aca="false">IF(L447=A447,"","nix")</f>
        <v/>
      </c>
    </row>
    <row r="448" customFormat="false" ht="15.75" hidden="false" customHeight="true" outlineLevel="0" collapsed="false">
      <c r="A448" s="617" t="s">
        <v>486</v>
      </c>
      <c r="B448" s="569" t="s">
        <v>2622</v>
      </c>
      <c r="C448" s="617" t="s">
        <v>2623</v>
      </c>
      <c r="D448" s="552" t="str">
        <f aca="false">A448&amp;" "&amp;HLOOKUP($C$1,$E$1:$X$4910,ROW(D448))</f>
        <v>LBY Libya</v>
      </c>
      <c r="E448" s="548" t="s">
        <v>2624</v>
      </c>
      <c r="F448" s="549" t="s">
        <v>2625</v>
      </c>
      <c r="G448" s="548" t="s">
        <v>2626</v>
      </c>
      <c r="H448" s="548" t="s">
        <v>2627</v>
      </c>
      <c r="I448" s="548" t="s">
        <v>2628</v>
      </c>
      <c r="J448" s="549" t="str">
        <f aca="false">"[pt]"&amp;E448</f>
        <v>[pt]Libyen</v>
      </c>
      <c r="K448" s="549" t="str">
        <f aca="false">"[gr]"&amp;E448</f>
        <v>[gr]Libyen</v>
      </c>
      <c r="L448" s="619" t="s">
        <v>486</v>
      </c>
      <c r="M448" s="550" t="str">
        <f aca="false">IF(L448=A448,"","nix")</f>
        <v/>
      </c>
    </row>
    <row r="449" customFormat="false" ht="15.75" hidden="false" customHeight="true" outlineLevel="0" collapsed="false">
      <c r="A449" s="617" t="s">
        <v>488</v>
      </c>
      <c r="B449" s="569" t="s">
        <v>2629</v>
      </c>
      <c r="C449" s="617" t="s">
        <v>2630</v>
      </c>
      <c r="D449" s="552" t="str">
        <f aca="false">A449&amp;" "&amp;HLOOKUP($C$1,$E$1:$X$4910,ROW(D449))</f>
        <v>LCA Saint Lucia</v>
      </c>
      <c r="E449" s="548" t="s">
        <v>487</v>
      </c>
      <c r="F449" s="549" t="s">
        <v>2631</v>
      </c>
      <c r="G449" s="548" t="s">
        <v>2632</v>
      </c>
      <c r="H449" s="548" t="s">
        <v>2633</v>
      </c>
      <c r="I449" s="548" t="s">
        <v>2634</v>
      </c>
      <c r="J449" s="549" t="str">
        <f aca="false">"[pt]"&amp;E449</f>
        <v>[pt]St. Lucia</v>
      </c>
      <c r="K449" s="549" t="str">
        <f aca="false">"[gr]"&amp;E449</f>
        <v>[gr]St. Lucia</v>
      </c>
      <c r="L449" s="619" t="s">
        <v>488</v>
      </c>
      <c r="M449" s="550" t="str">
        <f aca="false">IF(L449=A449,"","nix")</f>
        <v/>
      </c>
    </row>
    <row r="450" customFormat="false" ht="15.75" hidden="false" customHeight="true" outlineLevel="0" collapsed="false">
      <c r="A450" s="617" t="s">
        <v>490</v>
      </c>
      <c r="B450" s="569" t="s">
        <v>2635</v>
      </c>
      <c r="C450" s="617" t="s">
        <v>2636</v>
      </c>
      <c r="D450" s="552" t="str">
        <f aca="false">A450&amp;" "&amp;HLOOKUP($C$1,$E$1:$X$4910,ROW(D450))</f>
        <v>LIE Liechtenstein</v>
      </c>
      <c r="E450" s="548" t="s">
        <v>489</v>
      </c>
      <c r="F450" s="549" t="s">
        <v>2637</v>
      </c>
      <c r="G450" s="548" t="s">
        <v>2637</v>
      </c>
      <c r="H450" s="548" t="s">
        <v>489</v>
      </c>
      <c r="I450" s="548" t="s">
        <v>489</v>
      </c>
      <c r="J450" s="549" t="str">
        <f aca="false">"[pt]"&amp;E450</f>
        <v>[pt]Liechtenstein</v>
      </c>
      <c r="K450" s="549" t="str">
        <f aca="false">"[gr]"&amp;E450</f>
        <v>[gr]Liechtenstein</v>
      </c>
      <c r="L450" s="619" t="s">
        <v>490</v>
      </c>
      <c r="M450" s="550" t="str">
        <f aca="false">IF(L450=A450,"","nix")</f>
        <v/>
      </c>
    </row>
    <row r="451" customFormat="false" ht="15.75" hidden="false" customHeight="true" outlineLevel="0" collapsed="false">
      <c r="A451" s="617" t="s">
        <v>492</v>
      </c>
      <c r="B451" s="569" t="s">
        <v>2638</v>
      </c>
      <c r="C451" s="617" t="s">
        <v>2639</v>
      </c>
      <c r="D451" s="552" t="str">
        <f aca="false">A451&amp;" "&amp;HLOOKUP($C$1,$E$1:$X$4910,ROW(D451))</f>
        <v>LKA Sri Lanka</v>
      </c>
      <c r="E451" s="548" t="s">
        <v>491</v>
      </c>
      <c r="F451" s="549" t="s">
        <v>2640</v>
      </c>
      <c r="G451" s="548" t="s">
        <v>2640</v>
      </c>
      <c r="H451" s="548" t="s">
        <v>491</v>
      </c>
      <c r="I451" s="548" t="s">
        <v>491</v>
      </c>
      <c r="J451" s="549" t="str">
        <f aca="false">"[pt]"&amp;E451</f>
        <v>[pt]Sri Lanka</v>
      </c>
      <c r="K451" s="549" t="str">
        <f aca="false">"[gr]"&amp;E451</f>
        <v>[gr]Sri Lanka</v>
      </c>
      <c r="L451" s="619" t="s">
        <v>492</v>
      </c>
      <c r="M451" s="550" t="str">
        <f aca="false">IF(L451=A451,"","nix")</f>
        <v/>
      </c>
    </row>
    <row r="452" customFormat="false" ht="15.75" hidden="false" customHeight="true" outlineLevel="0" collapsed="false">
      <c r="A452" s="617" t="s">
        <v>494</v>
      </c>
      <c r="B452" s="569" t="s">
        <v>2641</v>
      </c>
      <c r="C452" s="617" t="s">
        <v>2642</v>
      </c>
      <c r="D452" s="552" t="str">
        <f aca="false">A452&amp;" "&amp;HLOOKUP($C$1,$E$1:$X$4910,ROW(D452))</f>
        <v>LSO Lesotho</v>
      </c>
      <c r="E452" s="548" t="s">
        <v>493</v>
      </c>
      <c r="F452" s="549" t="s">
        <v>2643</v>
      </c>
      <c r="G452" s="548" t="s">
        <v>2643</v>
      </c>
      <c r="H452" s="548" t="s">
        <v>2644</v>
      </c>
      <c r="I452" s="548" t="s">
        <v>493</v>
      </c>
      <c r="J452" s="549" t="str">
        <f aca="false">"[pt]"&amp;E452</f>
        <v>[pt]Lesotho</v>
      </c>
      <c r="K452" s="549" t="str">
        <f aca="false">"[gr]"&amp;E452</f>
        <v>[gr]Lesotho</v>
      </c>
      <c r="L452" s="619" t="s">
        <v>494</v>
      </c>
      <c r="M452" s="550" t="str">
        <f aca="false">IF(L452=A452,"","nix")</f>
        <v/>
      </c>
    </row>
    <row r="453" customFormat="false" ht="15.75" hidden="false" customHeight="true" outlineLevel="0" collapsed="false">
      <c r="A453" s="617" t="s">
        <v>496</v>
      </c>
      <c r="B453" s="569" t="s">
        <v>2645</v>
      </c>
      <c r="C453" s="617" t="s">
        <v>2646</v>
      </c>
      <c r="D453" s="552" t="str">
        <f aca="false">A453&amp;" "&amp;HLOOKUP($C$1,$E$1:$X$4910,ROW(D453))</f>
        <v>LTU Lithuania</v>
      </c>
      <c r="E453" s="548" t="s">
        <v>2647</v>
      </c>
      <c r="F453" s="549" t="s">
        <v>2648</v>
      </c>
      <c r="G453" s="548" t="s">
        <v>2649</v>
      </c>
      <c r="H453" s="548" t="s">
        <v>2650</v>
      </c>
      <c r="I453" s="548" t="s">
        <v>2651</v>
      </c>
      <c r="J453" s="549" t="str">
        <f aca="false">"[pt]"&amp;E453</f>
        <v>[pt]Litauen</v>
      </c>
      <c r="K453" s="549" t="str">
        <f aca="false">"[gr]"&amp;E453</f>
        <v>[gr]Litauen</v>
      </c>
      <c r="L453" s="619" t="s">
        <v>496</v>
      </c>
      <c r="M453" s="550" t="str">
        <f aca="false">IF(L453=A453,"","nix")</f>
        <v/>
      </c>
    </row>
    <row r="454" customFormat="false" ht="15.75" hidden="false" customHeight="true" outlineLevel="0" collapsed="false">
      <c r="A454" s="617" t="s">
        <v>498</v>
      </c>
      <c r="B454" s="569" t="s">
        <v>2652</v>
      </c>
      <c r="C454" s="617" t="s">
        <v>2653</v>
      </c>
      <c r="D454" s="552" t="str">
        <f aca="false">A454&amp;" "&amp;HLOOKUP($C$1,$E$1:$X$4910,ROW(D454))</f>
        <v>LUX Luxembourg</v>
      </c>
      <c r="E454" s="548" t="s">
        <v>2654</v>
      </c>
      <c r="F454" s="549" t="s">
        <v>2655</v>
      </c>
      <c r="G454" s="548" t="s">
        <v>2656</v>
      </c>
      <c r="H454" s="548" t="s">
        <v>2657</v>
      </c>
      <c r="I454" s="548" t="s">
        <v>497</v>
      </c>
      <c r="J454" s="549" t="str">
        <f aca="false">"[pt]"&amp;E454</f>
        <v>[pt]Luxemburg</v>
      </c>
      <c r="K454" s="549" t="str">
        <f aca="false">"[gr]"&amp;E454</f>
        <v>[gr]Luxemburg</v>
      </c>
      <c r="L454" s="619" t="s">
        <v>498</v>
      </c>
      <c r="M454" s="550" t="str">
        <f aca="false">IF(L454=A454,"","nix")</f>
        <v/>
      </c>
    </row>
    <row r="455" customFormat="false" ht="15.75" hidden="false" customHeight="true" outlineLevel="0" collapsed="false">
      <c r="A455" s="617" t="s">
        <v>500</v>
      </c>
      <c r="B455" s="569" t="s">
        <v>2658</v>
      </c>
      <c r="C455" s="617" t="s">
        <v>2659</v>
      </c>
      <c r="D455" s="552" t="str">
        <f aca="false">A455&amp;" "&amp;HLOOKUP($C$1,$E$1:$X$4910,ROW(D455))</f>
        <v>LVA Latvia</v>
      </c>
      <c r="E455" s="548" t="s">
        <v>2660</v>
      </c>
      <c r="F455" s="549" t="s">
        <v>2661</v>
      </c>
      <c r="G455" s="548" t="s">
        <v>2662</v>
      </c>
      <c r="H455" s="548" t="s">
        <v>2663</v>
      </c>
      <c r="I455" s="548" t="s">
        <v>2664</v>
      </c>
      <c r="J455" s="549" t="str">
        <f aca="false">"[pt]"&amp;E455</f>
        <v>[pt]Lettland</v>
      </c>
      <c r="K455" s="549" t="str">
        <f aca="false">"[gr]"&amp;E455</f>
        <v>[gr]Lettland</v>
      </c>
      <c r="L455" s="619" t="s">
        <v>500</v>
      </c>
      <c r="M455" s="550" t="str">
        <f aca="false">IF(L455=A455,"","nix")</f>
        <v/>
      </c>
    </row>
    <row r="456" customFormat="false" ht="15.75" hidden="false" customHeight="true" outlineLevel="0" collapsed="false">
      <c r="A456" s="617" t="s">
        <v>502</v>
      </c>
      <c r="B456" s="569" t="s">
        <v>2665</v>
      </c>
      <c r="C456" s="617" t="s">
        <v>2666</v>
      </c>
      <c r="D456" s="552" t="str">
        <f aca="false">A456&amp;" "&amp;HLOOKUP($C$1,$E$1:$X$4910,ROW(D456))</f>
        <v>MAC Macao</v>
      </c>
      <c r="E456" s="548" t="s">
        <v>2667</v>
      </c>
      <c r="F456" s="549" t="s">
        <v>2668</v>
      </c>
      <c r="G456" s="548" t="s">
        <v>2668</v>
      </c>
      <c r="H456" s="548" t="s">
        <v>2667</v>
      </c>
      <c r="I456" s="548" t="s">
        <v>2667</v>
      </c>
      <c r="J456" s="549" t="str">
        <f aca="false">"[pt]"&amp;E456</f>
        <v>[pt]Macao</v>
      </c>
      <c r="K456" s="549" t="str">
        <f aca="false">"[gr]"&amp;E456</f>
        <v>[gr]Macao</v>
      </c>
      <c r="L456" s="619" t="s">
        <v>502</v>
      </c>
      <c r="M456" s="550" t="str">
        <f aca="false">IF(L456=A456,"","nix")</f>
        <v/>
      </c>
    </row>
    <row r="457" customFormat="false" ht="15.75" hidden="false" customHeight="true" outlineLevel="0" collapsed="false">
      <c r="A457" s="617" t="s">
        <v>504</v>
      </c>
      <c r="B457" s="569" t="s">
        <v>2669</v>
      </c>
      <c r="C457" s="617" t="s">
        <v>2670</v>
      </c>
      <c r="D457" s="552" t="str">
        <f aca="false">A457&amp;" "&amp;HLOOKUP($C$1,$E$1:$X$4910,ROW(D457))</f>
        <v>MAF Saint Martin (French part)</v>
      </c>
      <c r="E457" s="548" t="s">
        <v>2671</v>
      </c>
      <c r="F457" s="549" t="s">
        <v>2672</v>
      </c>
      <c r="G457" s="548" t="s">
        <v>2673</v>
      </c>
      <c r="H457" s="548" t="s">
        <v>2674</v>
      </c>
      <c r="I457" s="548" t="s">
        <v>2675</v>
      </c>
      <c r="J457" s="549" t="str">
        <f aca="false">"[pt]"&amp;E457</f>
        <v>[pt]Saint-Martin (franz. Teil)</v>
      </c>
      <c r="K457" s="549" t="str">
        <f aca="false">"[gr]"&amp;E457</f>
        <v>[gr]Saint-Martin (franz. Teil)</v>
      </c>
      <c r="L457" s="619" t="s">
        <v>504</v>
      </c>
      <c r="M457" s="550" t="str">
        <f aca="false">IF(L457=A457,"","nix")</f>
        <v/>
      </c>
    </row>
    <row r="458" customFormat="false" ht="15.75" hidden="false" customHeight="true" outlineLevel="0" collapsed="false">
      <c r="A458" s="617" t="s">
        <v>506</v>
      </c>
      <c r="B458" s="569" t="s">
        <v>2676</v>
      </c>
      <c r="C458" s="617" t="s">
        <v>2677</v>
      </c>
      <c r="D458" s="552" t="str">
        <f aca="false">A458&amp;" "&amp;HLOOKUP($C$1,$E$1:$X$4910,ROW(D458))</f>
        <v>MAR Morocco</v>
      </c>
      <c r="E458" s="548" t="s">
        <v>2678</v>
      </c>
      <c r="F458" s="549" t="s">
        <v>2679</v>
      </c>
      <c r="G458" s="548" t="s">
        <v>2680</v>
      </c>
      <c r="H458" s="548" t="s">
        <v>2681</v>
      </c>
      <c r="I458" s="548" t="s">
        <v>2682</v>
      </c>
      <c r="J458" s="549" t="str">
        <f aca="false">"[pt]"&amp;E458</f>
        <v>[pt]Marokko</v>
      </c>
      <c r="K458" s="549" t="str">
        <f aca="false">"[gr]"&amp;E458</f>
        <v>[gr]Marokko</v>
      </c>
      <c r="L458" s="619" t="s">
        <v>506</v>
      </c>
      <c r="M458" s="550" t="str">
        <f aca="false">IF(L458=A458,"","nix")</f>
        <v/>
      </c>
    </row>
    <row r="459" customFormat="false" ht="15.75" hidden="false" customHeight="true" outlineLevel="0" collapsed="false">
      <c r="A459" s="617" t="s">
        <v>508</v>
      </c>
      <c r="B459" s="569" t="s">
        <v>2683</v>
      </c>
      <c r="C459" s="617" t="s">
        <v>2684</v>
      </c>
      <c r="D459" s="552" t="str">
        <f aca="false">A459&amp;" "&amp;HLOOKUP($C$1,$E$1:$X$4910,ROW(D459))</f>
        <v>MCO Monaco</v>
      </c>
      <c r="E459" s="548" t="s">
        <v>507</v>
      </c>
      <c r="F459" s="549" t="s">
        <v>2685</v>
      </c>
      <c r="G459" s="548" t="s">
        <v>2686</v>
      </c>
      <c r="H459" s="548" t="s">
        <v>2687</v>
      </c>
      <c r="I459" s="548" t="s">
        <v>507</v>
      </c>
      <c r="J459" s="549" t="str">
        <f aca="false">"[pt]"&amp;E459</f>
        <v>[pt]Monaco</v>
      </c>
      <c r="K459" s="549" t="str">
        <f aca="false">"[gr]"&amp;E459</f>
        <v>[gr]Monaco</v>
      </c>
      <c r="L459" s="619" t="s">
        <v>508</v>
      </c>
      <c r="M459" s="550" t="str">
        <f aca="false">IF(L459=A459,"","nix")</f>
        <v/>
      </c>
    </row>
    <row r="460" customFormat="false" ht="15.75" hidden="false" customHeight="true" outlineLevel="0" collapsed="false">
      <c r="A460" s="617" t="s">
        <v>510</v>
      </c>
      <c r="B460" s="569" t="s">
        <v>2688</v>
      </c>
      <c r="C460" s="617" t="s">
        <v>2689</v>
      </c>
      <c r="D460" s="552" t="str">
        <f aca="false">A460&amp;" "&amp;HLOOKUP($C$1,$E$1:$X$4910,ROW(D460))</f>
        <v>MDA Moldova, Republic of</v>
      </c>
      <c r="E460" s="548" t="s">
        <v>2690</v>
      </c>
      <c r="F460" s="549" t="s">
        <v>2691</v>
      </c>
      <c r="G460" s="548" t="s">
        <v>2692</v>
      </c>
      <c r="H460" s="548" t="s">
        <v>2693</v>
      </c>
      <c r="I460" s="548" t="s">
        <v>2694</v>
      </c>
      <c r="J460" s="549" t="str">
        <f aca="false">"[pt]"&amp;E460</f>
        <v>[pt]Moldawien (Republik Moldau)</v>
      </c>
      <c r="K460" s="549" t="str">
        <f aca="false">"[gr]"&amp;E460</f>
        <v>[gr]Moldawien (Republik Moldau)</v>
      </c>
      <c r="L460" s="619" t="s">
        <v>510</v>
      </c>
      <c r="M460" s="550" t="str">
        <f aca="false">IF(L460=A460,"","nix")</f>
        <v/>
      </c>
    </row>
    <row r="461" customFormat="false" ht="15.75" hidden="false" customHeight="true" outlineLevel="0" collapsed="false">
      <c r="A461" s="617" t="s">
        <v>512</v>
      </c>
      <c r="B461" s="569" t="s">
        <v>2695</v>
      </c>
      <c r="C461" s="617" t="s">
        <v>2696</v>
      </c>
      <c r="D461" s="552" t="str">
        <f aca="false">A461&amp;" "&amp;HLOOKUP($C$1,$E$1:$X$4910,ROW(D461))</f>
        <v>MDG Madagascar</v>
      </c>
      <c r="E461" s="548" t="s">
        <v>2697</v>
      </c>
      <c r="F461" s="549" t="s">
        <v>2698</v>
      </c>
      <c r="G461" s="548" t="s">
        <v>2698</v>
      </c>
      <c r="H461" s="548" t="s">
        <v>511</v>
      </c>
      <c r="I461" s="548" t="s">
        <v>511</v>
      </c>
      <c r="J461" s="549" t="str">
        <f aca="false">"[pt]"&amp;E461</f>
        <v>[pt]Madagaskar</v>
      </c>
      <c r="K461" s="549" t="str">
        <f aca="false">"[gr]"&amp;E461</f>
        <v>[gr]Madagaskar</v>
      </c>
      <c r="L461" s="619" t="s">
        <v>512</v>
      </c>
      <c r="M461" s="550" t="str">
        <f aca="false">IF(L461=A461,"","nix")</f>
        <v/>
      </c>
    </row>
    <row r="462" customFormat="false" ht="15.75" hidden="false" customHeight="true" outlineLevel="0" collapsed="false">
      <c r="A462" s="617" t="s">
        <v>514</v>
      </c>
      <c r="B462" s="569" t="s">
        <v>2699</v>
      </c>
      <c r="C462" s="617" t="s">
        <v>2700</v>
      </c>
      <c r="D462" s="552" t="str">
        <f aca="false">A462&amp;" "&amp;HLOOKUP($C$1,$E$1:$X$4910,ROW(D462))</f>
        <v>MDV Maldives</v>
      </c>
      <c r="E462" s="548" t="s">
        <v>2701</v>
      </c>
      <c r="F462" s="549" t="s">
        <v>2702</v>
      </c>
      <c r="G462" s="548" t="s">
        <v>2703</v>
      </c>
      <c r="H462" s="548" t="s">
        <v>2704</v>
      </c>
      <c r="I462" s="548" t="s">
        <v>513</v>
      </c>
      <c r="J462" s="549" t="str">
        <f aca="false">"[pt]"&amp;E462</f>
        <v>[pt]Malediven</v>
      </c>
      <c r="K462" s="549" t="str">
        <f aca="false">"[gr]"&amp;E462</f>
        <v>[gr]Malediven</v>
      </c>
      <c r="L462" s="619" t="s">
        <v>514</v>
      </c>
      <c r="M462" s="550" t="str">
        <f aca="false">IF(L462=A462,"","nix")</f>
        <v/>
      </c>
    </row>
    <row r="463" customFormat="false" ht="15.75" hidden="false" customHeight="true" outlineLevel="0" collapsed="false">
      <c r="A463" s="617" t="s">
        <v>516</v>
      </c>
      <c r="B463" s="569" t="s">
        <v>2705</v>
      </c>
      <c r="C463" s="617" t="s">
        <v>2706</v>
      </c>
      <c r="D463" s="552" t="str">
        <f aca="false">A463&amp;" "&amp;HLOOKUP($C$1,$E$1:$X$4910,ROW(D463))</f>
        <v>MEX Mexico</v>
      </c>
      <c r="E463" s="548" t="s">
        <v>2707</v>
      </c>
      <c r="F463" s="549" t="s">
        <v>2708</v>
      </c>
      <c r="G463" s="548" t="s">
        <v>2709</v>
      </c>
      <c r="H463" s="548" t="s">
        <v>2710</v>
      </c>
      <c r="I463" s="548" t="s">
        <v>2711</v>
      </c>
      <c r="J463" s="549" t="str">
        <f aca="false">"[pt]"&amp;E463</f>
        <v>[pt]Mexiko</v>
      </c>
      <c r="K463" s="549" t="str">
        <f aca="false">"[gr]"&amp;E463</f>
        <v>[gr]Mexiko</v>
      </c>
      <c r="L463" s="619" t="s">
        <v>516</v>
      </c>
      <c r="M463" s="550" t="str">
        <f aca="false">IF(L463=A463,"","nix")</f>
        <v/>
      </c>
    </row>
    <row r="464" customFormat="false" ht="15.75" hidden="false" customHeight="true" outlineLevel="0" collapsed="false">
      <c r="A464" s="617" t="s">
        <v>518</v>
      </c>
      <c r="B464" s="569" t="s">
        <v>2712</v>
      </c>
      <c r="C464" s="617" t="s">
        <v>2713</v>
      </c>
      <c r="D464" s="552" t="str">
        <f aca="false">A464&amp;" "&amp;HLOOKUP($C$1,$E$1:$X$4910,ROW(D464))</f>
        <v>MHL Marshall Islands</v>
      </c>
      <c r="E464" s="548" t="s">
        <v>2714</v>
      </c>
      <c r="F464" s="549" t="s">
        <v>2715</v>
      </c>
      <c r="G464" s="548" t="s">
        <v>2716</v>
      </c>
      <c r="H464" s="548" t="s">
        <v>2717</v>
      </c>
      <c r="I464" s="548" t="s">
        <v>2718</v>
      </c>
      <c r="J464" s="549" t="str">
        <f aca="false">"[pt]"&amp;E464</f>
        <v>[pt]Marshallinseln</v>
      </c>
      <c r="K464" s="549" t="str">
        <f aca="false">"[gr]"&amp;E464</f>
        <v>[gr]Marshallinseln</v>
      </c>
      <c r="L464" s="619" t="s">
        <v>518</v>
      </c>
      <c r="M464" s="550" t="str">
        <f aca="false">IF(L464=A464,"","nix")</f>
        <v/>
      </c>
    </row>
    <row r="465" customFormat="false" ht="15.75" hidden="false" customHeight="true" outlineLevel="0" collapsed="false">
      <c r="A465" s="617" t="s">
        <v>520</v>
      </c>
      <c r="B465" s="569" t="s">
        <v>2719</v>
      </c>
      <c r="C465" s="617" t="s">
        <v>2720</v>
      </c>
      <c r="D465" s="552" t="str">
        <f aca="false">A465&amp;" "&amp;HLOOKUP($C$1,$E$1:$X$4910,ROW(D465))</f>
        <v>MKD Macedonia, The Former Yugoslav Republic of</v>
      </c>
      <c r="E465" s="548" t="s">
        <v>2721</v>
      </c>
      <c r="F465" s="549" t="s">
        <v>2722</v>
      </c>
      <c r="G465" s="548" t="s">
        <v>2723</v>
      </c>
      <c r="H465" s="548" t="s">
        <v>2724</v>
      </c>
      <c r="I465" s="548" t="s">
        <v>2725</v>
      </c>
      <c r="J465" s="549" t="str">
        <f aca="false">"[pt]"&amp;E465</f>
        <v>[pt]Mazedonien</v>
      </c>
      <c r="K465" s="549" t="str">
        <f aca="false">"[gr]"&amp;E465</f>
        <v>[gr]Mazedonien</v>
      </c>
      <c r="L465" s="619" t="s">
        <v>520</v>
      </c>
      <c r="M465" s="550" t="str">
        <f aca="false">IF(L465=A465,"","nix")</f>
        <v/>
      </c>
    </row>
    <row r="466" customFormat="false" ht="15.75" hidden="false" customHeight="true" outlineLevel="0" collapsed="false">
      <c r="A466" s="617" t="s">
        <v>522</v>
      </c>
      <c r="B466" s="569" t="s">
        <v>2726</v>
      </c>
      <c r="C466" s="617" t="s">
        <v>2727</v>
      </c>
      <c r="D466" s="552" t="str">
        <f aca="false">A466&amp;" "&amp;HLOOKUP($C$1,$E$1:$X$4910,ROW(D466))</f>
        <v>MLI Mali</v>
      </c>
      <c r="E466" s="548" t="s">
        <v>521</v>
      </c>
      <c r="F466" s="549" t="s">
        <v>2728</v>
      </c>
      <c r="G466" s="548" t="s">
        <v>2728</v>
      </c>
      <c r="H466" s="548" t="s">
        <v>2729</v>
      </c>
      <c r="I466" s="548" t="s">
        <v>521</v>
      </c>
      <c r="J466" s="549" t="str">
        <f aca="false">"[pt]"&amp;E466</f>
        <v>[pt]Mali</v>
      </c>
      <c r="K466" s="549" t="str">
        <f aca="false">"[gr]"&amp;E466</f>
        <v>[gr]Mali</v>
      </c>
      <c r="L466" s="619" t="s">
        <v>522</v>
      </c>
      <c r="M466" s="550" t="str">
        <f aca="false">IF(L466=A466,"","nix")</f>
        <v/>
      </c>
    </row>
    <row r="467" customFormat="false" ht="15.75" hidden="false" customHeight="true" outlineLevel="0" collapsed="false">
      <c r="A467" s="617" t="s">
        <v>524</v>
      </c>
      <c r="B467" s="569" t="s">
        <v>2730</v>
      </c>
      <c r="C467" s="617" t="s">
        <v>2731</v>
      </c>
      <c r="D467" s="552" t="str">
        <f aca="false">A467&amp;" "&amp;HLOOKUP($C$1,$E$1:$X$4910,ROW(D467))</f>
        <v>MLT Malta</v>
      </c>
      <c r="E467" s="548" t="s">
        <v>523</v>
      </c>
      <c r="F467" s="549" t="s">
        <v>2732</v>
      </c>
      <c r="G467" s="548" t="s">
        <v>2732</v>
      </c>
      <c r="H467" s="548" t="s">
        <v>523</v>
      </c>
      <c r="I467" s="548" t="s">
        <v>2733</v>
      </c>
      <c r="J467" s="549" t="str">
        <f aca="false">"[pt]"&amp;E467</f>
        <v>[pt]Malta</v>
      </c>
      <c r="K467" s="549" t="str">
        <f aca="false">"[gr]"&amp;E467</f>
        <v>[gr]Malta</v>
      </c>
      <c r="L467" s="619" t="s">
        <v>524</v>
      </c>
      <c r="M467" s="550" t="str">
        <f aca="false">IF(L467=A467,"","nix")</f>
        <v/>
      </c>
    </row>
    <row r="468" customFormat="false" ht="15.75" hidden="false" customHeight="true" outlineLevel="0" collapsed="false">
      <c r="A468" s="617" t="s">
        <v>526</v>
      </c>
      <c r="B468" s="569" t="s">
        <v>2734</v>
      </c>
      <c r="C468" s="617" t="s">
        <v>2735</v>
      </c>
      <c r="D468" s="552" t="str">
        <f aca="false">A468&amp;" "&amp;HLOOKUP($C$1,$E$1:$X$4910,ROW(D468))</f>
        <v>MMR Myanmar</v>
      </c>
      <c r="E468" s="548" t="s">
        <v>2736</v>
      </c>
      <c r="F468" s="549" t="s">
        <v>2737</v>
      </c>
      <c r="G468" s="548" t="s">
        <v>2738</v>
      </c>
      <c r="H468" s="548" t="s">
        <v>2739</v>
      </c>
      <c r="I468" s="548" t="s">
        <v>525</v>
      </c>
      <c r="J468" s="549" t="str">
        <f aca="false">"[pt]"&amp;E468</f>
        <v>[pt]Myanmar (Burma)</v>
      </c>
      <c r="K468" s="549" t="str">
        <f aca="false">"[gr]"&amp;E468</f>
        <v>[gr]Myanmar (Burma)</v>
      </c>
      <c r="L468" s="619" t="s">
        <v>526</v>
      </c>
      <c r="M468" s="550" t="str">
        <f aca="false">IF(L468=A468,"","nix")</f>
        <v/>
      </c>
    </row>
    <row r="469" customFormat="false" ht="15.75" hidden="false" customHeight="true" outlineLevel="0" collapsed="false">
      <c r="A469" s="617" t="s">
        <v>528</v>
      </c>
      <c r="B469" s="569" t="s">
        <v>2740</v>
      </c>
      <c r="C469" s="617" t="s">
        <v>2741</v>
      </c>
      <c r="D469" s="552" t="str">
        <f aca="false">A469&amp;" "&amp;HLOOKUP($C$1,$E$1:$X$4910,ROW(D469))</f>
        <v>MNE Montenegro</v>
      </c>
      <c r="E469" s="548" t="s">
        <v>527</v>
      </c>
      <c r="F469" s="549" t="s">
        <v>2742</v>
      </c>
      <c r="G469" s="548" t="s">
        <v>2742</v>
      </c>
      <c r="H469" s="548" t="s">
        <v>527</v>
      </c>
      <c r="I469" s="548" t="s">
        <v>2743</v>
      </c>
      <c r="J469" s="549" t="str">
        <f aca="false">"[pt]"&amp;E469</f>
        <v>[pt]Montenegro</v>
      </c>
      <c r="K469" s="549" t="str">
        <f aca="false">"[gr]"&amp;E469</f>
        <v>[gr]Montenegro</v>
      </c>
      <c r="L469" s="619" t="s">
        <v>528</v>
      </c>
      <c r="M469" s="550" t="str">
        <f aca="false">IF(L469=A469,"","nix")</f>
        <v/>
      </c>
    </row>
    <row r="470" customFormat="false" ht="15.75" hidden="false" customHeight="true" outlineLevel="0" collapsed="false">
      <c r="A470" s="617" t="s">
        <v>530</v>
      </c>
      <c r="B470" s="569" t="s">
        <v>2744</v>
      </c>
      <c r="C470" s="617" t="s">
        <v>2745</v>
      </c>
      <c r="D470" s="552" t="str">
        <f aca="false">A470&amp;" "&amp;HLOOKUP($C$1,$E$1:$X$4910,ROW(D470))</f>
        <v>MNG Mongolia</v>
      </c>
      <c r="E470" s="548" t="s">
        <v>2746</v>
      </c>
      <c r="F470" s="549" t="s">
        <v>2747</v>
      </c>
      <c r="G470" s="548" t="s">
        <v>2747</v>
      </c>
      <c r="H470" s="548" t="s">
        <v>529</v>
      </c>
      <c r="I470" s="548" t="s">
        <v>2748</v>
      </c>
      <c r="J470" s="549" t="str">
        <f aca="false">"[pt]"&amp;E470</f>
        <v>[pt]Mongolei</v>
      </c>
      <c r="K470" s="549" t="str">
        <f aca="false">"[gr]"&amp;E470</f>
        <v>[gr]Mongolei</v>
      </c>
      <c r="L470" s="619" t="s">
        <v>530</v>
      </c>
      <c r="M470" s="550" t="str">
        <f aca="false">IF(L470=A470,"","nix")</f>
        <v/>
      </c>
    </row>
    <row r="471" customFormat="false" ht="15.75" hidden="false" customHeight="true" outlineLevel="0" collapsed="false">
      <c r="A471" s="617" t="s">
        <v>532</v>
      </c>
      <c r="B471" s="569" t="s">
        <v>2749</v>
      </c>
      <c r="C471" s="617" t="s">
        <v>2750</v>
      </c>
      <c r="D471" s="552" t="str">
        <f aca="false">A471&amp;" "&amp;HLOOKUP($C$1,$E$1:$X$4910,ROW(D471))</f>
        <v>MNP Northern Mariana Islands</v>
      </c>
      <c r="E471" s="548" t="s">
        <v>2751</v>
      </c>
      <c r="F471" s="549" t="s">
        <v>2752</v>
      </c>
      <c r="G471" s="548" t="s">
        <v>2753</v>
      </c>
      <c r="H471" s="548" t="s">
        <v>2754</v>
      </c>
      <c r="I471" s="548" t="s">
        <v>2755</v>
      </c>
      <c r="J471" s="549" t="str">
        <f aca="false">"[pt]"&amp;E471</f>
        <v>[pt]Nördliche Marianen</v>
      </c>
      <c r="K471" s="549" t="str">
        <f aca="false">"[gr]"&amp;E471</f>
        <v>[gr]Nördliche Marianen</v>
      </c>
      <c r="L471" s="619" t="s">
        <v>532</v>
      </c>
      <c r="M471" s="550" t="str">
        <f aca="false">IF(L471=A471,"","nix")</f>
        <v/>
      </c>
    </row>
    <row r="472" customFormat="false" ht="15.75" hidden="false" customHeight="true" outlineLevel="0" collapsed="false">
      <c r="A472" s="617" t="s">
        <v>534</v>
      </c>
      <c r="B472" s="569" t="s">
        <v>2756</v>
      </c>
      <c r="C472" s="617" t="s">
        <v>2757</v>
      </c>
      <c r="D472" s="552" t="str">
        <f aca="false">A472&amp;" "&amp;HLOOKUP($C$1,$E$1:$X$4910,ROW(D472))</f>
        <v>MOZ Mozambique</v>
      </c>
      <c r="E472" s="548" t="s">
        <v>2758</v>
      </c>
      <c r="F472" s="549" t="s">
        <v>2759</v>
      </c>
      <c r="G472" s="548" t="s">
        <v>2760</v>
      </c>
      <c r="H472" s="548" t="s">
        <v>533</v>
      </c>
      <c r="I472" s="548" t="s">
        <v>533</v>
      </c>
      <c r="J472" s="549" t="str">
        <f aca="false">"[pt]"&amp;E472</f>
        <v>[pt]Mosambik</v>
      </c>
      <c r="K472" s="549" t="str">
        <f aca="false">"[gr]"&amp;E472</f>
        <v>[gr]Mosambik</v>
      </c>
      <c r="L472" s="619" t="s">
        <v>534</v>
      </c>
      <c r="M472" s="550" t="str">
        <f aca="false">IF(L472=A472,"","nix")</f>
        <v/>
      </c>
    </row>
    <row r="473" customFormat="false" ht="15.75" hidden="false" customHeight="true" outlineLevel="0" collapsed="false">
      <c r="A473" s="617" t="s">
        <v>536</v>
      </c>
      <c r="B473" s="569" t="s">
        <v>2761</v>
      </c>
      <c r="C473" s="617" t="s">
        <v>2762</v>
      </c>
      <c r="D473" s="552" t="str">
        <f aca="false">A473&amp;" "&amp;HLOOKUP($C$1,$E$1:$X$4910,ROW(D473))</f>
        <v>MRT Mauritania</v>
      </c>
      <c r="E473" s="548" t="s">
        <v>2763</v>
      </c>
      <c r="F473" s="549" t="s">
        <v>2764</v>
      </c>
      <c r="G473" s="548" t="s">
        <v>2764</v>
      </c>
      <c r="H473" s="548" t="s">
        <v>535</v>
      </c>
      <c r="I473" s="548" t="s">
        <v>2765</v>
      </c>
      <c r="J473" s="549" t="str">
        <f aca="false">"[pt]"&amp;E473</f>
        <v>[pt]Mauretanien</v>
      </c>
      <c r="K473" s="549" t="str">
        <f aca="false">"[gr]"&amp;E473</f>
        <v>[gr]Mauretanien</v>
      </c>
      <c r="L473" s="619" t="s">
        <v>536</v>
      </c>
      <c r="M473" s="550" t="str">
        <f aca="false">IF(L473=A473,"","nix")</f>
        <v/>
      </c>
    </row>
    <row r="474" customFormat="false" ht="15.75" hidden="false" customHeight="true" outlineLevel="0" collapsed="false">
      <c r="A474" s="617" t="s">
        <v>538</v>
      </c>
      <c r="B474" s="569" t="s">
        <v>2766</v>
      </c>
      <c r="C474" s="617" t="s">
        <v>2767</v>
      </c>
      <c r="D474" s="552" t="str">
        <f aca="false">A474&amp;" "&amp;HLOOKUP($C$1,$E$1:$X$4910,ROW(D474))</f>
        <v>MUS Mauritius</v>
      </c>
      <c r="E474" s="548" t="s">
        <v>537</v>
      </c>
      <c r="F474" s="549" t="s">
        <v>2768</v>
      </c>
      <c r="G474" s="548" t="s">
        <v>2768</v>
      </c>
      <c r="H474" s="548" t="s">
        <v>2769</v>
      </c>
      <c r="I474" s="548" t="s">
        <v>2770</v>
      </c>
      <c r="J474" s="549" t="str">
        <f aca="false">"[pt]"&amp;E474</f>
        <v>[pt]Mauritius</v>
      </c>
      <c r="K474" s="549" t="str">
        <f aca="false">"[gr]"&amp;E474</f>
        <v>[gr]Mauritius</v>
      </c>
      <c r="L474" s="619" t="s">
        <v>538</v>
      </c>
      <c r="M474" s="550" t="str">
        <f aca="false">IF(L474=A474,"","nix")</f>
        <v/>
      </c>
    </row>
    <row r="475" customFormat="false" ht="15.75" hidden="false" customHeight="true" outlineLevel="0" collapsed="false">
      <c r="A475" s="617" t="s">
        <v>540</v>
      </c>
      <c r="B475" s="569" t="s">
        <v>2771</v>
      </c>
      <c r="C475" s="617" t="s">
        <v>2772</v>
      </c>
      <c r="D475" s="552" t="str">
        <f aca="false">A475&amp;" "&amp;HLOOKUP($C$1,$E$1:$X$4910,ROW(D475))</f>
        <v>MWI Malawi</v>
      </c>
      <c r="E475" s="548" t="s">
        <v>539</v>
      </c>
      <c r="F475" s="549" t="s">
        <v>2773</v>
      </c>
      <c r="G475" s="548" t="s">
        <v>2773</v>
      </c>
      <c r="H475" s="548" t="s">
        <v>2774</v>
      </c>
      <c r="I475" s="548" t="s">
        <v>539</v>
      </c>
      <c r="J475" s="549" t="str">
        <f aca="false">"[pt]"&amp;E475</f>
        <v>[pt]Malawi</v>
      </c>
      <c r="K475" s="549" t="str">
        <f aca="false">"[gr]"&amp;E475</f>
        <v>[gr]Malawi</v>
      </c>
      <c r="L475" s="619" t="s">
        <v>540</v>
      </c>
      <c r="M475" s="550" t="str">
        <f aca="false">IF(L475=A475,"","nix")</f>
        <v/>
      </c>
    </row>
    <row r="476" customFormat="false" ht="15.75" hidden="false" customHeight="true" outlineLevel="0" collapsed="false">
      <c r="A476" s="617" t="s">
        <v>542</v>
      </c>
      <c r="B476" s="569" t="s">
        <v>2775</v>
      </c>
      <c r="C476" s="617" t="s">
        <v>2776</v>
      </c>
      <c r="D476" s="552" t="str">
        <f aca="false">A476&amp;" "&amp;HLOOKUP($C$1,$E$1:$X$4910,ROW(D476))</f>
        <v>MYS Malaysia</v>
      </c>
      <c r="E476" s="548" t="s">
        <v>541</v>
      </c>
      <c r="F476" s="549" t="s">
        <v>2777</v>
      </c>
      <c r="G476" s="548" t="s">
        <v>2778</v>
      </c>
      <c r="H476" s="548" t="s">
        <v>2779</v>
      </c>
      <c r="I476" s="548" t="s">
        <v>2780</v>
      </c>
      <c r="J476" s="549" t="str">
        <f aca="false">"[pt]"&amp;E476</f>
        <v>[pt]Malaysia</v>
      </c>
      <c r="K476" s="549" t="str">
        <f aca="false">"[gr]"&amp;E476</f>
        <v>[gr]Malaysia</v>
      </c>
      <c r="L476" s="619" t="s">
        <v>542</v>
      </c>
      <c r="M476" s="550" t="str">
        <f aca="false">IF(L476=A476,"","nix")</f>
        <v/>
      </c>
    </row>
    <row r="477" customFormat="false" ht="15.75" hidden="false" customHeight="true" outlineLevel="0" collapsed="false">
      <c r="A477" s="617" t="s">
        <v>544</v>
      </c>
      <c r="B477" s="569" t="s">
        <v>2781</v>
      </c>
      <c r="C477" s="617" t="s">
        <v>2782</v>
      </c>
      <c r="D477" s="552" t="str">
        <f aca="false">A477&amp;" "&amp;HLOOKUP($C$1,$E$1:$X$4910,ROW(D477))</f>
        <v>NAM Namibia</v>
      </c>
      <c r="E477" s="548" t="s">
        <v>543</v>
      </c>
      <c r="F477" s="549" t="s">
        <v>2783</v>
      </c>
      <c r="G477" s="548" t="s">
        <v>2783</v>
      </c>
      <c r="H477" s="548" t="s">
        <v>543</v>
      </c>
      <c r="I477" s="548" t="s">
        <v>2784</v>
      </c>
      <c r="J477" s="549" t="str">
        <f aca="false">"[pt]"&amp;E477</f>
        <v>[pt]Namibia</v>
      </c>
      <c r="K477" s="549" t="str">
        <f aca="false">"[gr]"&amp;E477</f>
        <v>[gr]Namibia</v>
      </c>
      <c r="L477" s="619" t="s">
        <v>544</v>
      </c>
      <c r="M477" s="550" t="str">
        <f aca="false">IF(L477=A477,"","nix")</f>
        <v/>
      </c>
    </row>
    <row r="478" customFormat="false" ht="15.75" hidden="false" customHeight="true" outlineLevel="0" collapsed="false">
      <c r="A478" s="617" t="s">
        <v>546</v>
      </c>
      <c r="B478" s="569" t="s">
        <v>2785</v>
      </c>
      <c r="C478" s="617" t="s">
        <v>2786</v>
      </c>
      <c r="D478" s="552" t="str">
        <f aca="false">A478&amp;" "&amp;HLOOKUP($C$1,$E$1:$X$4910,ROW(D478))</f>
        <v>NCL New Caledonia</v>
      </c>
      <c r="E478" s="548" t="s">
        <v>2787</v>
      </c>
      <c r="F478" s="549" t="s">
        <v>2788</v>
      </c>
      <c r="G478" s="548" t="s">
        <v>2789</v>
      </c>
      <c r="H478" s="548" t="s">
        <v>2790</v>
      </c>
      <c r="I478" s="548" t="s">
        <v>2791</v>
      </c>
      <c r="J478" s="549" t="str">
        <f aca="false">"[pt]"&amp;E478</f>
        <v>[pt]Neukaledonien</v>
      </c>
      <c r="K478" s="549" t="str">
        <f aca="false">"[gr]"&amp;E478</f>
        <v>[gr]Neukaledonien</v>
      </c>
      <c r="L478" s="619" t="s">
        <v>546</v>
      </c>
      <c r="M478" s="550" t="str">
        <f aca="false">IF(L478=A478,"","nix")</f>
        <v/>
      </c>
    </row>
    <row r="479" customFormat="false" ht="15.75" hidden="false" customHeight="true" outlineLevel="0" collapsed="false">
      <c r="A479" s="617" t="s">
        <v>548</v>
      </c>
      <c r="B479" s="569" t="s">
        <v>2792</v>
      </c>
      <c r="C479" s="617" t="s">
        <v>2793</v>
      </c>
      <c r="D479" s="552" t="str">
        <f aca="false">A479&amp;" "&amp;HLOOKUP($C$1,$E$1:$X$4910,ROW(D479))</f>
        <v>NER Niger</v>
      </c>
      <c r="E479" s="548" t="s">
        <v>547</v>
      </c>
      <c r="F479" s="549" t="s">
        <v>2794</v>
      </c>
      <c r="G479" s="548" t="s">
        <v>2794</v>
      </c>
      <c r="H479" s="548" t="s">
        <v>2795</v>
      </c>
      <c r="I479" s="548" t="s">
        <v>547</v>
      </c>
      <c r="J479" s="549" t="str">
        <f aca="false">"[pt]"&amp;E479</f>
        <v>[pt]Niger</v>
      </c>
      <c r="K479" s="549" t="str">
        <f aca="false">"[gr]"&amp;E479</f>
        <v>[gr]Niger</v>
      </c>
      <c r="L479" s="619" t="s">
        <v>548</v>
      </c>
      <c r="M479" s="550" t="str">
        <f aca="false">IF(L479=A479,"","nix")</f>
        <v/>
      </c>
    </row>
    <row r="480" customFormat="false" ht="15.75" hidden="false" customHeight="true" outlineLevel="0" collapsed="false">
      <c r="A480" s="617" t="s">
        <v>550</v>
      </c>
      <c r="B480" s="569" t="s">
        <v>2796</v>
      </c>
      <c r="C480" s="617" t="s">
        <v>2797</v>
      </c>
      <c r="D480" s="552" t="str">
        <f aca="false">A480&amp;" "&amp;HLOOKUP($C$1,$E$1:$X$4910,ROW(D480))</f>
        <v>NGA Nigeria</v>
      </c>
      <c r="E480" s="548" t="s">
        <v>549</v>
      </c>
      <c r="F480" s="549" t="s">
        <v>2798</v>
      </c>
      <c r="G480" s="548" t="s">
        <v>2798</v>
      </c>
      <c r="H480" s="548" t="s">
        <v>549</v>
      </c>
      <c r="I480" s="548" t="s">
        <v>2799</v>
      </c>
      <c r="J480" s="549" t="str">
        <f aca="false">"[pt]"&amp;E480</f>
        <v>[pt]Nigeria</v>
      </c>
      <c r="K480" s="549" t="str">
        <f aca="false">"[gr]"&amp;E480</f>
        <v>[gr]Nigeria</v>
      </c>
      <c r="L480" s="619" t="s">
        <v>550</v>
      </c>
      <c r="M480" s="550" t="str">
        <f aca="false">IF(L480=A480,"","nix")</f>
        <v/>
      </c>
    </row>
    <row r="481" customFormat="false" ht="15.75" hidden="false" customHeight="true" outlineLevel="0" collapsed="false">
      <c r="A481" s="617" t="s">
        <v>552</v>
      </c>
      <c r="B481" s="569" t="s">
        <v>2800</v>
      </c>
      <c r="C481" s="617" t="s">
        <v>2801</v>
      </c>
      <c r="D481" s="552" t="str">
        <f aca="false">A481&amp;" "&amp;HLOOKUP($C$1,$E$1:$X$4910,ROW(D481))</f>
        <v>NIC Nicaragua</v>
      </c>
      <c r="E481" s="548" t="s">
        <v>551</v>
      </c>
      <c r="F481" s="549" t="s">
        <v>2802</v>
      </c>
      <c r="G481" s="548" t="s">
        <v>2802</v>
      </c>
      <c r="H481" s="548" t="s">
        <v>551</v>
      </c>
      <c r="I481" s="548" t="s">
        <v>551</v>
      </c>
      <c r="J481" s="549" t="str">
        <f aca="false">"[pt]"&amp;E481</f>
        <v>[pt]Nicaragua</v>
      </c>
      <c r="K481" s="549" t="str">
        <f aca="false">"[gr]"&amp;E481</f>
        <v>[gr]Nicaragua</v>
      </c>
      <c r="L481" s="619" t="s">
        <v>552</v>
      </c>
      <c r="M481" s="550" t="str">
        <f aca="false">IF(L481=A481,"","nix")</f>
        <v/>
      </c>
    </row>
    <row r="482" customFormat="false" ht="15.75" hidden="false" customHeight="true" outlineLevel="0" collapsed="false">
      <c r="A482" s="617" t="s">
        <v>554</v>
      </c>
      <c r="B482" s="569" t="s">
        <v>2803</v>
      </c>
      <c r="C482" s="617" t="s">
        <v>2804</v>
      </c>
      <c r="D482" s="552" t="str">
        <f aca="false">A482&amp;" "&amp;HLOOKUP($C$1,$E$1:$X$4910,ROW(D482))</f>
        <v>NLD Netherlands</v>
      </c>
      <c r="E482" s="548" t="s">
        <v>2805</v>
      </c>
      <c r="F482" s="549" t="s">
        <v>2806</v>
      </c>
      <c r="G482" s="548" t="s">
        <v>2807</v>
      </c>
      <c r="H482" s="548" t="s">
        <v>2808</v>
      </c>
      <c r="I482" s="548" t="s">
        <v>2809</v>
      </c>
      <c r="J482" s="549" t="str">
        <f aca="false">"[pt]"&amp;E482</f>
        <v>[pt]Niederlande</v>
      </c>
      <c r="K482" s="549" t="str">
        <f aca="false">"[gr]"&amp;E482</f>
        <v>[gr]Niederlande</v>
      </c>
      <c r="L482" s="619" t="s">
        <v>554</v>
      </c>
      <c r="M482" s="550" t="str">
        <f aca="false">IF(L482=A482,"","nix")</f>
        <v/>
      </c>
    </row>
    <row r="483" customFormat="false" ht="15.75" hidden="false" customHeight="true" outlineLevel="0" collapsed="false">
      <c r="A483" s="617" t="s">
        <v>556</v>
      </c>
      <c r="B483" s="569" t="s">
        <v>2810</v>
      </c>
      <c r="C483" s="617" t="s">
        <v>2811</v>
      </c>
      <c r="D483" s="552" t="str">
        <f aca="false">A483&amp;" "&amp;HLOOKUP($C$1,$E$1:$X$4910,ROW(D483))</f>
        <v>NOR Norway</v>
      </c>
      <c r="E483" s="548" t="s">
        <v>2812</v>
      </c>
      <c r="F483" s="549" t="s">
        <v>2813</v>
      </c>
      <c r="G483" s="548" t="s">
        <v>2814</v>
      </c>
      <c r="H483" s="548" t="s">
        <v>2815</v>
      </c>
      <c r="I483" s="548" t="s">
        <v>2816</v>
      </c>
      <c r="J483" s="549" t="str">
        <f aca="false">"[pt]"&amp;E483</f>
        <v>[pt]Norwegen</v>
      </c>
      <c r="K483" s="549" t="str">
        <f aca="false">"[gr]"&amp;E483</f>
        <v>[gr]Norwegen</v>
      </c>
      <c r="L483" s="619" t="s">
        <v>556</v>
      </c>
      <c r="M483" s="550" t="str">
        <f aca="false">IF(L483=A483,"","nix")</f>
        <v/>
      </c>
    </row>
    <row r="484" customFormat="false" ht="15.75" hidden="false" customHeight="true" outlineLevel="0" collapsed="false">
      <c r="A484" s="617" t="s">
        <v>558</v>
      </c>
      <c r="B484" s="569" t="s">
        <v>2817</v>
      </c>
      <c r="C484" s="617" t="s">
        <v>2818</v>
      </c>
      <c r="D484" s="552" t="str">
        <f aca="false">A484&amp;" "&amp;HLOOKUP($C$1,$E$1:$X$4910,ROW(D484))</f>
        <v>NPL Nepal</v>
      </c>
      <c r="E484" s="548" t="s">
        <v>557</v>
      </c>
      <c r="F484" s="549" t="s">
        <v>2819</v>
      </c>
      <c r="G484" s="548" t="s">
        <v>2819</v>
      </c>
      <c r="H484" s="548" t="s">
        <v>557</v>
      </c>
      <c r="I484" s="548" t="s">
        <v>2820</v>
      </c>
      <c r="J484" s="549" t="str">
        <f aca="false">"[pt]"&amp;E484</f>
        <v>[pt]Nepal</v>
      </c>
      <c r="K484" s="549" t="str">
        <f aca="false">"[gr]"&amp;E484</f>
        <v>[gr]Nepal</v>
      </c>
      <c r="L484" s="619" t="s">
        <v>558</v>
      </c>
      <c r="M484" s="550" t="str">
        <f aca="false">IF(L484=A484,"","nix")</f>
        <v/>
      </c>
    </row>
    <row r="485" customFormat="false" ht="15.75" hidden="false" customHeight="true" outlineLevel="0" collapsed="false">
      <c r="A485" s="617" t="s">
        <v>560</v>
      </c>
      <c r="B485" s="569" t="s">
        <v>2821</v>
      </c>
      <c r="C485" s="617" t="s">
        <v>2822</v>
      </c>
      <c r="D485" s="552" t="str">
        <f aca="false">A485&amp;" "&amp;HLOOKUP($C$1,$E$1:$X$4910,ROW(D485))</f>
        <v>NRU Nauru</v>
      </c>
      <c r="E485" s="548" t="s">
        <v>559</v>
      </c>
      <c r="F485" s="549" t="s">
        <v>2823</v>
      </c>
      <c r="G485" s="548" t="s">
        <v>2823</v>
      </c>
      <c r="H485" s="548" t="s">
        <v>559</v>
      </c>
      <c r="I485" s="548" t="s">
        <v>559</v>
      </c>
      <c r="J485" s="549" t="str">
        <f aca="false">"[pt]"&amp;E485</f>
        <v>[pt]Nauru</v>
      </c>
      <c r="K485" s="549" t="str">
        <f aca="false">"[gr]"&amp;E485</f>
        <v>[gr]Nauru</v>
      </c>
      <c r="L485" s="619" t="s">
        <v>560</v>
      </c>
      <c r="M485" s="550" t="str">
        <f aca="false">IF(L485=A485,"","nix")</f>
        <v/>
      </c>
    </row>
    <row r="486" customFormat="false" ht="15.75" hidden="false" customHeight="true" outlineLevel="0" collapsed="false">
      <c r="A486" s="617" t="s">
        <v>562</v>
      </c>
      <c r="B486" s="569" t="s">
        <v>2824</v>
      </c>
      <c r="C486" s="617" t="s">
        <v>2825</v>
      </c>
      <c r="D486" s="552" t="str">
        <f aca="false">A486&amp;" "&amp;HLOOKUP($C$1,$E$1:$X$4910,ROW(D486))</f>
        <v>NZL New Zealand</v>
      </c>
      <c r="E486" s="548" t="s">
        <v>2826</v>
      </c>
      <c r="F486" s="549" t="s">
        <v>2827</v>
      </c>
      <c r="G486" s="548" t="s">
        <v>2828</v>
      </c>
      <c r="H486" s="548" t="s">
        <v>2829</v>
      </c>
      <c r="I486" s="548" t="s">
        <v>2830</v>
      </c>
      <c r="J486" s="549" t="str">
        <f aca="false">"[pt]"&amp;E486</f>
        <v>[pt]Neuseeland</v>
      </c>
      <c r="K486" s="549" t="str">
        <f aca="false">"[gr]"&amp;E486</f>
        <v>[gr]Neuseeland</v>
      </c>
      <c r="L486" s="619" t="s">
        <v>562</v>
      </c>
      <c r="M486" s="550" t="str">
        <f aca="false">IF(L486=A486,"","nix")</f>
        <v/>
      </c>
    </row>
    <row r="487" customFormat="false" ht="15.75" hidden="false" customHeight="true" outlineLevel="0" collapsed="false">
      <c r="A487" s="617" t="s">
        <v>564</v>
      </c>
      <c r="B487" s="569" t="s">
        <v>2831</v>
      </c>
      <c r="C487" s="617" t="s">
        <v>2832</v>
      </c>
      <c r="D487" s="552" t="str">
        <f aca="false">A487&amp;" "&amp;HLOOKUP($C$1,$E$1:$X$4910,ROW(D487))</f>
        <v>OMN Oman</v>
      </c>
      <c r="E487" s="548" t="s">
        <v>563</v>
      </c>
      <c r="F487" s="549" t="s">
        <v>2833</v>
      </c>
      <c r="G487" s="548" t="s">
        <v>2833</v>
      </c>
      <c r="H487" s="548" t="s">
        <v>2834</v>
      </c>
      <c r="I487" s="548" t="s">
        <v>563</v>
      </c>
      <c r="J487" s="549" t="str">
        <f aca="false">"[pt]"&amp;E487</f>
        <v>[pt]Oman</v>
      </c>
      <c r="K487" s="549" t="str">
        <f aca="false">"[gr]"&amp;E487</f>
        <v>[gr]Oman</v>
      </c>
      <c r="L487" s="619" t="s">
        <v>564</v>
      </c>
      <c r="M487" s="550" t="str">
        <f aca="false">IF(L487=A487,"","nix")</f>
        <v/>
      </c>
    </row>
    <row r="488" customFormat="false" ht="15.75" hidden="false" customHeight="true" outlineLevel="0" collapsed="false">
      <c r="A488" s="617" t="s">
        <v>566</v>
      </c>
      <c r="B488" s="569" t="s">
        <v>2835</v>
      </c>
      <c r="C488" s="617" t="s">
        <v>2836</v>
      </c>
      <c r="D488" s="552" t="str">
        <f aca="false">A488&amp;" "&amp;HLOOKUP($C$1,$E$1:$X$4910,ROW(D488))</f>
        <v>PAK Pakistan</v>
      </c>
      <c r="E488" s="548" t="s">
        <v>565</v>
      </c>
      <c r="F488" s="549" t="s">
        <v>2837</v>
      </c>
      <c r="G488" s="548" t="s">
        <v>2837</v>
      </c>
      <c r="H488" s="548" t="s">
        <v>2838</v>
      </c>
      <c r="I488" s="548" t="s">
        <v>565</v>
      </c>
      <c r="J488" s="549" t="str">
        <f aca="false">"[pt]"&amp;E488</f>
        <v>[pt]Pakistan</v>
      </c>
      <c r="K488" s="549" t="str">
        <f aca="false">"[gr]"&amp;E488</f>
        <v>[gr]Pakistan</v>
      </c>
      <c r="L488" s="619" t="s">
        <v>566</v>
      </c>
      <c r="M488" s="550" t="str">
        <f aca="false">IF(L488=A488,"","nix")</f>
        <v/>
      </c>
    </row>
    <row r="489" customFormat="false" ht="15.75" hidden="false" customHeight="true" outlineLevel="0" collapsed="false">
      <c r="A489" s="617" t="s">
        <v>568</v>
      </c>
      <c r="B489" s="569" t="s">
        <v>2839</v>
      </c>
      <c r="C489" s="617" t="s">
        <v>2840</v>
      </c>
      <c r="D489" s="552" t="str">
        <f aca="false">A489&amp;" "&amp;HLOOKUP($C$1,$E$1:$X$4910,ROW(D489))</f>
        <v>PAN Panama</v>
      </c>
      <c r="E489" s="548" t="s">
        <v>567</v>
      </c>
      <c r="F489" s="549" t="s">
        <v>2841</v>
      </c>
      <c r="G489" s="548" t="s">
        <v>2842</v>
      </c>
      <c r="H489" s="548" t="s">
        <v>2843</v>
      </c>
      <c r="I489" s="548" t="s">
        <v>567</v>
      </c>
      <c r="J489" s="549" t="str">
        <f aca="false">"[pt]"&amp;E489</f>
        <v>[pt]Panama</v>
      </c>
      <c r="K489" s="549" t="str">
        <f aca="false">"[gr]"&amp;E489</f>
        <v>[gr]Panama</v>
      </c>
      <c r="L489" s="619" t="s">
        <v>568</v>
      </c>
      <c r="M489" s="550" t="str">
        <f aca="false">IF(L489=A489,"","nix")</f>
        <v/>
      </c>
    </row>
    <row r="490" customFormat="false" ht="15.75" hidden="false" customHeight="true" outlineLevel="0" collapsed="false">
      <c r="A490" s="617" t="s">
        <v>570</v>
      </c>
      <c r="B490" s="569" t="s">
        <v>2844</v>
      </c>
      <c r="C490" s="617" t="s">
        <v>2845</v>
      </c>
      <c r="D490" s="552" t="str">
        <f aca="false">A490&amp;" "&amp;HLOOKUP($C$1,$E$1:$X$4910,ROW(D490))</f>
        <v>PER Peru</v>
      </c>
      <c r="E490" s="548" t="s">
        <v>569</v>
      </c>
      <c r="F490" s="549" t="s">
        <v>2846</v>
      </c>
      <c r="G490" s="548" t="s">
        <v>2847</v>
      </c>
      <c r="H490" s="548" t="s">
        <v>2848</v>
      </c>
      <c r="I490" s="548" t="s">
        <v>2849</v>
      </c>
      <c r="J490" s="549" t="str">
        <f aca="false">"[pt]"&amp;E490</f>
        <v>[pt]Peru</v>
      </c>
      <c r="K490" s="549" t="str">
        <f aca="false">"[gr]"&amp;E490</f>
        <v>[gr]Peru</v>
      </c>
      <c r="L490" s="619" t="s">
        <v>570</v>
      </c>
      <c r="M490" s="550" t="str">
        <f aca="false">IF(L490=A490,"","nix")</f>
        <v/>
      </c>
    </row>
    <row r="491" customFormat="false" ht="15.75" hidden="false" customHeight="true" outlineLevel="0" collapsed="false">
      <c r="A491" s="617" t="s">
        <v>572</v>
      </c>
      <c r="B491" s="569" t="s">
        <v>2850</v>
      </c>
      <c r="C491" s="617" t="s">
        <v>2851</v>
      </c>
      <c r="D491" s="552" t="str">
        <f aca="false">A491&amp;" "&amp;HLOOKUP($C$1,$E$1:$X$4910,ROW(D491))</f>
        <v>PHL Philippines</v>
      </c>
      <c r="E491" s="548" t="s">
        <v>2852</v>
      </c>
      <c r="F491" s="549" t="s">
        <v>2853</v>
      </c>
      <c r="G491" s="548" t="s">
        <v>2854</v>
      </c>
      <c r="H491" s="548" t="s">
        <v>2855</v>
      </c>
      <c r="I491" s="548" t="s">
        <v>571</v>
      </c>
      <c r="J491" s="549" t="str">
        <f aca="false">"[pt]"&amp;E491</f>
        <v>[pt]Philippinen</v>
      </c>
      <c r="K491" s="549" t="str">
        <f aca="false">"[gr]"&amp;E491</f>
        <v>[gr]Philippinen</v>
      </c>
      <c r="L491" s="619" t="s">
        <v>572</v>
      </c>
      <c r="M491" s="550" t="str">
        <f aca="false">IF(L491=A491,"","nix")</f>
        <v/>
      </c>
    </row>
    <row r="492" customFormat="false" ht="15.75" hidden="false" customHeight="true" outlineLevel="0" collapsed="false">
      <c r="A492" s="617" t="s">
        <v>574</v>
      </c>
      <c r="B492" s="569" t="s">
        <v>2856</v>
      </c>
      <c r="C492" s="617" t="s">
        <v>2857</v>
      </c>
      <c r="D492" s="552" t="str">
        <f aca="false">A492&amp;" "&amp;HLOOKUP($C$1,$E$1:$X$4910,ROW(D492))</f>
        <v>PLW Palau</v>
      </c>
      <c r="E492" s="548" t="s">
        <v>573</v>
      </c>
      <c r="F492" s="549" t="s">
        <v>2858</v>
      </c>
      <c r="G492" s="548" t="s">
        <v>2858</v>
      </c>
      <c r="H492" s="548" t="s">
        <v>2859</v>
      </c>
      <c r="I492" s="548" t="s">
        <v>2859</v>
      </c>
      <c r="J492" s="549" t="str">
        <f aca="false">"[pt]"&amp;E492</f>
        <v>[pt]Palau</v>
      </c>
      <c r="K492" s="549" t="str">
        <f aca="false">"[gr]"&amp;E492</f>
        <v>[gr]Palau</v>
      </c>
      <c r="L492" s="619" t="s">
        <v>574</v>
      </c>
      <c r="M492" s="550" t="str">
        <f aca="false">IF(L492=A492,"","nix")</f>
        <v/>
      </c>
    </row>
    <row r="493" customFormat="false" ht="15.75" hidden="false" customHeight="true" outlineLevel="0" collapsed="false">
      <c r="A493" s="617" t="s">
        <v>576</v>
      </c>
      <c r="B493" s="569" t="s">
        <v>2860</v>
      </c>
      <c r="C493" s="617" t="s">
        <v>2861</v>
      </c>
      <c r="D493" s="552" t="str">
        <f aca="false">A493&amp;" "&amp;HLOOKUP($C$1,$E$1:$X$4910,ROW(D493))</f>
        <v>PNG Papua New Guinea</v>
      </c>
      <c r="E493" s="548" t="s">
        <v>2862</v>
      </c>
      <c r="F493" s="549" t="s">
        <v>2863</v>
      </c>
      <c r="G493" s="548" t="s">
        <v>2864</v>
      </c>
      <c r="H493" s="548" t="s">
        <v>2865</v>
      </c>
      <c r="I493" s="548" t="s">
        <v>2866</v>
      </c>
      <c r="J493" s="549" t="str">
        <f aca="false">"[pt]"&amp;E493</f>
        <v>[pt]Papua-Neuguinea</v>
      </c>
      <c r="K493" s="549" t="str">
        <f aca="false">"[gr]"&amp;E493</f>
        <v>[gr]Papua-Neuguinea</v>
      </c>
      <c r="L493" s="619" t="s">
        <v>576</v>
      </c>
      <c r="M493" s="550" t="str">
        <f aca="false">IF(L493=A493,"","nix")</f>
        <v/>
      </c>
    </row>
    <row r="494" customFormat="false" ht="15.75" hidden="false" customHeight="true" outlineLevel="0" collapsed="false">
      <c r="A494" s="617" t="s">
        <v>578</v>
      </c>
      <c r="B494" s="569" t="s">
        <v>2867</v>
      </c>
      <c r="C494" s="617" t="s">
        <v>2868</v>
      </c>
      <c r="D494" s="552" t="str">
        <f aca="false">A494&amp;" "&amp;HLOOKUP($C$1,$E$1:$X$4910,ROW(D494))</f>
        <v>POL Poland</v>
      </c>
      <c r="E494" s="548" t="s">
        <v>2869</v>
      </c>
      <c r="F494" s="549" t="s">
        <v>2870</v>
      </c>
      <c r="G494" s="548" t="s">
        <v>2871</v>
      </c>
      <c r="H494" s="548" t="s">
        <v>2872</v>
      </c>
      <c r="I494" s="548" t="s">
        <v>2873</v>
      </c>
      <c r="J494" s="549" t="str">
        <f aca="false">"[pt]"&amp;E494</f>
        <v>[pt]Polen</v>
      </c>
      <c r="K494" s="549" t="str">
        <f aca="false">"[gr]"&amp;E494</f>
        <v>[gr]Polen</v>
      </c>
      <c r="L494" s="619" t="s">
        <v>578</v>
      </c>
      <c r="M494" s="550" t="str">
        <f aca="false">IF(L494=A494,"","nix")</f>
        <v/>
      </c>
    </row>
    <row r="495" customFormat="false" ht="15.75" hidden="false" customHeight="true" outlineLevel="0" collapsed="false">
      <c r="A495" s="617" t="s">
        <v>580</v>
      </c>
      <c r="B495" s="569" t="s">
        <v>2874</v>
      </c>
      <c r="C495" s="617" t="s">
        <v>2875</v>
      </c>
      <c r="D495" s="552" t="str">
        <f aca="false">A495&amp;" "&amp;HLOOKUP($C$1,$E$1:$X$4910,ROW(D495))</f>
        <v>PRI Puerto Rico</v>
      </c>
      <c r="E495" s="548" t="s">
        <v>579</v>
      </c>
      <c r="F495" s="549" t="s">
        <v>2876</v>
      </c>
      <c r="G495" s="548" t="s">
        <v>2877</v>
      </c>
      <c r="H495" s="548" t="s">
        <v>579</v>
      </c>
      <c r="I495" s="548" t="s">
        <v>579</v>
      </c>
      <c r="J495" s="549" t="str">
        <f aca="false">"[pt]"&amp;E495</f>
        <v>[pt]Puerto Rico</v>
      </c>
      <c r="K495" s="549" t="str">
        <f aca="false">"[gr]"&amp;E495</f>
        <v>[gr]Puerto Rico</v>
      </c>
      <c r="L495" s="619" t="s">
        <v>580</v>
      </c>
      <c r="M495" s="550" t="str">
        <f aca="false">IF(L495=A495,"","nix")</f>
        <v/>
      </c>
    </row>
    <row r="496" customFormat="false" ht="15.75" hidden="false" customHeight="true" outlineLevel="0" collapsed="false">
      <c r="A496" s="617" t="s">
        <v>582</v>
      </c>
      <c r="B496" s="569" t="s">
        <v>2878</v>
      </c>
      <c r="C496" s="617" t="s">
        <v>2879</v>
      </c>
      <c r="D496" s="552" t="str">
        <f aca="false">A496&amp;" "&amp;HLOOKUP($C$1,$E$1:$X$4910,ROW(D496))</f>
        <v>PRK Korea, Democratic People's Republic of</v>
      </c>
      <c r="E496" s="548" t="s">
        <v>2880</v>
      </c>
      <c r="F496" s="549" t="s">
        <v>2881</v>
      </c>
      <c r="G496" s="548" t="s">
        <v>2882</v>
      </c>
      <c r="H496" s="548" t="s">
        <v>2883</v>
      </c>
      <c r="I496" s="548" t="s">
        <v>2884</v>
      </c>
      <c r="J496" s="549" t="str">
        <f aca="false">"[pt]"&amp;E496</f>
        <v>[pt]Korea, Demokratische Volksrepublik (Nordkorea)</v>
      </c>
      <c r="K496" s="549" t="str">
        <f aca="false">"[gr]"&amp;E496</f>
        <v>[gr]Korea, Demokratische Volksrepublik (Nordkorea)</v>
      </c>
      <c r="L496" s="619" t="s">
        <v>582</v>
      </c>
      <c r="M496" s="550" t="str">
        <f aca="false">IF(L496=A496,"","nix")</f>
        <v/>
      </c>
    </row>
    <row r="497" customFormat="false" ht="15.75" hidden="false" customHeight="true" outlineLevel="0" collapsed="false">
      <c r="A497" s="617" t="s">
        <v>584</v>
      </c>
      <c r="B497" s="569" t="s">
        <v>2885</v>
      </c>
      <c r="C497" s="617" t="s">
        <v>2886</v>
      </c>
      <c r="D497" s="552" t="str">
        <f aca="false">A497&amp;" "&amp;HLOOKUP($C$1,$E$1:$X$4910,ROW(D497))</f>
        <v>PRT Portugal</v>
      </c>
      <c r="E497" s="548" t="s">
        <v>583</v>
      </c>
      <c r="F497" s="549" t="s">
        <v>2887</v>
      </c>
      <c r="G497" s="548" t="s">
        <v>2888</v>
      </c>
      <c r="H497" s="548" t="s">
        <v>583</v>
      </c>
      <c r="I497" s="548" t="s">
        <v>583</v>
      </c>
      <c r="J497" s="549" t="str">
        <f aca="false">"[pt]"&amp;E497</f>
        <v>[pt]Portugal</v>
      </c>
      <c r="K497" s="549" t="str">
        <f aca="false">"[gr]"&amp;E497</f>
        <v>[gr]Portugal</v>
      </c>
      <c r="L497" s="619" t="s">
        <v>584</v>
      </c>
      <c r="M497" s="550" t="str">
        <f aca="false">IF(L497=A497,"","nix")</f>
        <v/>
      </c>
    </row>
    <row r="498" customFormat="false" ht="15.75" hidden="false" customHeight="true" outlineLevel="0" collapsed="false">
      <c r="A498" s="617" t="s">
        <v>586</v>
      </c>
      <c r="B498" s="569" t="s">
        <v>2889</v>
      </c>
      <c r="C498" s="617" t="s">
        <v>2890</v>
      </c>
      <c r="D498" s="552" t="str">
        <f aca="false">A498&amp;" "&amp;HLOOKUP($C$1,$E$1:$X$4910,ROW(D498))</f>
        <v>PRY Paraguay</v>
      </c>
      <c r="E498" s="548" t="s">
        <v>585</v>
      </c>
      <c r="F498" s="549" t="s">
        <v>2891</v>
      </c>
      <c r="G498" s="548" t="s">
        <v>2891</v>
      </c>
      <c r="H498" s="548" t="s">
        <v>585</v>
      </c>
      <c r="I498" s="548" t="s">
        <v>585</v>
      </c>
      <c r="J498" s="549" t="str">
        <f aca="false">"[pt]"&amp;E498</f>
        <v>[pt]Paraguay</v>
      </c>
      <c r="K498" s="549" t="str">
        <f aca="false">"[gr]"&amp;E498</f>
        <v>[gr]Paraguay</v>
      </c>
      <c r="L498" s="619" t="s">
        <v>586</v>
      </c>
      <c r="M498" s="550" t="str">
        <f aca="false">IF(L498=A498,"","nix")</f>
        <v/>
      </c>
    </row>
    <row r="499" customFormat="false" ht="15.75" hidden="false" customHeight="true" outlineLevel="0" collapsed="false">
      <c r="A499" s="617" t="s">
        <v>588</v>
      </c>
      <c r="B499" s="569" t="s">
        <v>2892</v>
      </c>
      <c r="C499" s="617" t="s">
        <v>2893</v>
      </c>
      <c r="D499" s="552" t="str">
        <f aca="false">A499&amp;" "&amp;HLOOKUP($C$1,$E$1:$X$4910,ROW(D499))</f>
        <v>PSE Palestinian Territory, Occupied</v>
      </c>
      <c r="E499" s="548" t="s">
        <v>2894</v>
      </c>
      <c r="F499" s="549" t="s">
        <v>2895</v>
      </c>
      <c r="G499" s="548" t="s">
        <v>2896</v>
      </c>
      <c r="H499" s="548" t="s">
        <v>2897</v>
      </c>
      <c r="I499" s="548" t="s">
        <v>2898</v>
      </c>
      <c r="J499" s="549" t="str">
        <f aca="false">"[pt]"&amp;E499</f>
        <v>[pt]Palästinensische Autonomiegebiete</v>
      </c>
      <c r="K499" s="549" t="str">
        <f aca="false">"[gr]"&amp;E499</f>
        <v>[gr]Palästinensische Autonomiegebiete</v>
      </c>
      <c r="L499" s="619" t="s">
        <v>588</v>
      </c>
      <c r="M499" s="550" t="str">
        <f aca="false">IF(L499=A499,"","nix")</f>
        <v/>
      </c>
    </row>
    <row r="500" customFormat="false" ht="15.75" hidden="false" customHeight="true" outlineLevel="0" collapsed="false">
      <c r="A500" s="617" t="s">
        <v>590</v>
      </c>
      <c r="B500" s="569" t="s">
        <v>2899</v>
      </c>
      <c r="C500" s="617" t="s">
        <v>2900</v>
      </c>
      <c r="D500" s="552" t="str">
        <f aca="false">A500&amp;" "&amp;HLOOKUP($C$1,$E$1:$X$4910,ROW(D500))</f>
        <v>PYF French Polynesia</v>
      </c>
      <c r="E500" s="548" t="s">
        <v>2901</v>
      </c>
      <c r="F500" s="549" t="s">
        <v>2902</v>
      </c>
      <c r="G500" s="548" t="s">
        <v>2903</v>
      </c>
      <c r="H500" s="548" t="s">
        <v>2904</v>
      </c>
      <c r="I500" s="548" t="s">
        <v>2905</v>
      </c>
      <c r="J500" s="549" t="str">
        <f aca="false">"[pt]"&amp;E500</f>
        <v>[pt]Französisch-Polynesien</v>
      </c>
      <c r="K500" s="549" t="str">
        <f aca="false">"[gr]"&amp;E500</f>
        <v>[gr]Französisch-Polynesien</v>
      </c>
      <c r="L500" s="619" t="s">
        <v>590</v>
      </c>
      <c r="M500" s="550" t="str">
        <f aca="false">IF(L500=A500,"","nix")</f>
        <v/>
      </c>
    </row>
    <row r="501" customFormat="false" ht="15.75" hidden="false" customHeight="true" outlineLevel="0" collapsed="false">
      <c r="A501" s="617" t="s">
        <v>592</v>
      </c>
      <c r="B501" s="569" t="s">
        <v>2906</v>
      </c>
      <c r="C501" s="617" t="s">
        <v>2907</v>
      </c>
      <c r="D501" s="552" t="str">
        <f aca="false">A501&amp;" "&amp;HLOOKUP($C$1,$E$1:$X$4910,ROW(D501))</f>
        <v>QAT Qatar</v>
      </c>
      <c r="E501" s="548" t="s">
        <v>2908</v>
      </c>
      <c r="F501" s="549" t="s">
        <v>2909</v>
      </c>
      <c r="G501" s="548" t="s">
        <v>2909</v>
      </c>
      <c r="H501" s="548" t="s">
        <v>2910</v>
      </c>
      <c r="I501" s="548" t="s">
        <v>591</v>
      </c>
      <c r="J501" s="549" t="str">
        <f aca="false">"[pt]"&amp;E501</f>
        <v>[pt]Katar</v>
      </c>
      <c r="K501" s="549" t="str">
        <f aca="false">"[gr]"&amp;E501</f>
        <v>[gr]Katar</v>
      </c>
      <c r="L501" s="619" t="s">
        <v>592</v>
      </c>
      <c r="M501" s="550" t="str">
        <f aca="false">IF(L501=A501,"","nix")</f>
        <v/>
      </c>
    </row>
    <row r="502" customFormat="false" ht="15.75" hidden="false" customHeight="true" outlineLevel="0" collapsed="false">
      <c r="A502" s="617" t="s">
        <v>594</v>
      </c>
      <c r="B502" s="569" t="s">
        <v>2911</v>
      </c>
      <c r="C502" s="617" t="s">
        <v>2912</v>
      </c>
      <c r="D502" s="552" t="str">
        <f aca="false">A502&amp;" "&amp;HLOOKUP($C$1,$E$1:$X$4910,ROW(D502))</f>
        <v>ROU Romania</v>
      </c>
      <c r="E502" s="548" t="s">
        <v>2913</v>
      </c>
      <c r="F502" s="549" t="s">
        <v>2914</v>
      </c>
      <c r="G502" s="548" t="s">
        <v>2914</v>
      </c>
      <c r="H502" s="548" t="s">
        <v>2915</v>
      </c>
      <c r="I502" s="548" t="s">
        <v>2916</v>
      </c>
      <c r="J502" s="549" t="str">
        <f aca="false">"[pt]"&amp;E502</f>
        <v>[pt]Rumänien</v>
      </c>
      <c r="K502" s="549" t="str">
        <f aca="false">"[gr]"&amp;E502</f>
        <v>[gr]Rumänien</v>
      </c>
      <c r="L502" s="619" t="s">
        <v>594</v>
      </c>
      <c r="M502" s="550" t="str">
        <f aca="false">IF(L502=A502,"","nix")</f>
        <v/>
      </c>
    </row>
    <row r="503" customFormat="false" ht="15.75" hidden="false" customHeight="true" outlineLevel="0" collapsed="false">
      <c r="A503" s="617" t="s">
        <v>596</v>
      </c>
      <c r="B503" s="569" t="s">
        <v>2917</v>
      </c>
      <c r="C503" s="617" t="s">
        <v>2918</v>
      </c>
      <c r="D503" s="552" t="str">
        <f aca="false">A503&amp;" "&amp;HLOOKUP($C$1,$E$1:$X$4910,ROW(D503))</f>
        <v>RUS Russian Federation</v>
      </c>
      <c r="E503" s="548" t="s">
        <v>2919</v>
      </c>
      <c r="F503" s="549" t="s">
        <v>2920</v>
      </c>
      <c r="G503" s="548" t="s">
        <v>2921</v>
      </c>
      <c r="H503" s="548" t="s">
        <v>2922</v>
      </c>
      <c r="I503" s="548" t="s">
        <v>2923</v>
      </c>
      <c r="J503" s="549" t="str">
        <f aca="false">"[pt]"&amp;E503</f>
        <v>[pt]Russische Föderation</v>
      </c>
      <c r="K503" s="549" t="str">
        <f aca="false">"[gr]"&amp;E503</f>
        <v>[gr]Russische Föderation</v>
      </c>
      <c r="L503" s="619" t="s">
        <v>596</v>
      </c>
      <c r="M503" s="550" t="str">
        <f aca="false">IF(L503=A503,"","nix")</f>
        <v/>
      </c>
    </row>
    <row r="504" customFormat="false" ht="15.75" hidden="false" customHeight="true" outlineLevel="0" collapsed="false">
      <c r="A504" s="617" t="s">
        <v>598</v>
      </c>
      <c r="B504" s="569" t="s">
        <v>2924</v>
      </c>
      <c r="C504" s="617" t="s">
        <v>2925</v>
      </c>
      <c r="D504" s="552" t="str">
        <f aca="false">A504&amp;" "&amp;HLOOKUP($C$1,$E$1:$X$4910,ROW(D504))</f>
        <v>RWA Rwanda</v>
      </c>
      <c r="E504" s="548" t="s">
        <v>2926</v>
      </c>
      <c r="F504" s="549" t="s">
        <v>2927</v>
      </c>
      <c r="G504" s="548" t="s">
        <v>2928</v>
      </c>
      <c r="H504" s="548" t="s">
        <v>2926</v>
      </c>
      <c r="I504" s="548" t="s">
        <v>597</v>
      </c>
      <c r="J504" s="549" t="str">
        <f aca="false">"[pt]"&amp;E504</f>
        <v>[pt]Ruanda</v>
      </c>
      <c r="K504" s="549" t="str">
        <f aca="false">"[gr]"&amp;E504</f>
        <v>[gr]Ruanda</v>
      </c>
      <c r="L504" s="619" t="s">
        <v>598</v>
      </c>
      <c r="M504" s="550" t="str">
        <f aca="false">IF(L504=A504,"","nix")</f>
        <v/>
      </c>
    </row>
    <row r="505" customFormat="false" ht="15.75" hidden="false" customHeight="true" outlineLevel="0" collapsed="false">
      <c r="A505" s="617" t="s">
        <v>600</v>
      </c>
      <c r="B505" s="569" t="s">
        <v>2929</v>
      </c>
      <c r="C505" s="617" t="s">
        <v>2930</v>
      </c>
      <c r="D505" s="552" t="str">
        <f aca="false">A505&amp;" "&amp;HLOOKUP($C$1,$E$1:$X$4910,ROW(D505))</f>
        <v>SAU Saudi Arabia</v>
      </c>
      <c r="E505" s="548" t="s">
        <v>2931</v>
      </c>
      <c r="F505" s="549" t="s">
        <v>2932</v>
      </c>
      <c r="G505" s="548" t="s">
        <v>2933</v>
      </c>
      <c r="H505" s="548" t="s">
        <v>2934</v>
      </c>
      <c r="I505" s="548" t="s">
        <v>2935</v>
      </c>
      <c r="J505" s="549" t="str">
        <f aca="false">"[pt]"&amp;E505</f>
        <v>[pt]Saudi-Arabien</v>
      </c>
      <c r="K505" s="549" t="str">
        <f aca="false">"[gr]"&amp;E505</f>
        <v>[gr]Saudi-Arabien</v>
      </c>
      <c r="L505" s="619" t="s">
        <v>600</v>
      </c>
      <c r="M505" s="550" t="str">
        <f aca="false">IF(L505=A505,"","nix")</f>
        <v/>
      </c>
    </row>
    <row r="506" customFormat="false" ht="15.75" hidden="false" customHeight="true" outlineLevel="0" collapsed="false">
      <c r="A506" s="617" t="s">
        <v>602</v>
      </c>
      <c r="B506" s="569" t="s">
        <v>2936</v>
      </c>
      <c r="C506" s="617" t="s">
        <v>2937</v>
      </c>
      <c r="D506" s="552" t="str">
        <f aca="false">A506&amp;" "&amp;HLOOKUP($C$1,$E$1:$X$4910,ROW(D506))</f>
        <v>SDN Sudan</v>
      </c>
      <c r="E506" s="548" t="s">
        <v>601</v>
      </c>
      <c r="F506" s="549" t="s">
        <v>2938</v>
      </c>
      <c r="G506" s="548" t="s">
        <v>2938</v>
      </c>
      <c r="H506" s="548" t="s">
        <v>2939</v>
      </c>
      <c r="I506" s="548" t="s">
        <v>2940</v>
      </c>
      <c r="J506" s="549" t="str">
        <f aca="false">"[pt]"&amp;E506</f>
        <v>[pt]Sudan</v>
      </c>
      <c r="K506" s="549" t="str">
        <f aca="false">"[gr]"&amp;E506</f>
        <v>[gr]Sudan</v>
      </c>
      <c r="L506" s="619" t="s">
        <v>602</v>
      </c>
      <c r="M506" s="550" t="str">
        <f aca="false">IF(L506=A506,"","nix")</f>
        <v/>
      </c>
    </row>
    <row r="507" customFormat="false" ht="15.75" hidden="false" customHeight="true" outlineLevel="0" collapsed="false">
      <c r="A507" s="617" t="s">
        <v>604</v>
      </c>
      <c r="B507" s="569" t="s">
        <v>2941</v>
      </c>
      <c r="C507" s="617" t="s">
        <v>2942</v>
      </c>
      <c r="D507" s="552" t="str">
        <f aca="false">A507&amp;" "&amp;HLOOKUP($C$1,$E$1:$X$4910,ROW(D507))</f>
        <v>SEN Senegal</v>
      </c>
      <c r="E507" s="548" t="s">
        <v>603</v>
      </c>
      <c r="F507" s="549" t="s">
        <v>2943</v>
      </c>
      <c r="G507" s="548" t="s">
        <v>2943</v>
      </c>
      <c r="H507" s="548" t="s">
        <v>603</v>
      </c>
      <c r="I507" s="548" t="s">
        <v>2944</v>
      </c>
      <c r="J507" s="549" t="str">
        <f aca="false">"[pt]"&amp;E507</f>
        <v>[pt]Senegal</v>
      </c>
      <c r="K507" s="549" t="str">
        <f aca="false">"[gr]"&amp;E507</f>
        <v>[gr]Senegal</v>
      </c>
      <c r="L507" s="619" t="s">
        <v>604</v>
      </c>
      <c r="M507" s="550" t="str">
        <f aca="false">IF(L507=A507,"","nix")</f>
        <v/>
      </c>
    </row>
    <row r="508" customFormat="false" ht="15.75" hidden="false" customHeight="true" outlineLevel="0" collapsed="false">
      <c r="A508" s="617" t="s">
        <v>606</v>
      </c>
      <c r="B508" s="569" t="s">
        <v>2945</v>
      </c>
      <c r="C508" s="617" t="s">
        <v>2946</v>
      </c>
      <c r="D508" s="552" t="str">
        <f aca="false">A508&amp;" "&amp;HLOOKUP($C$1,$E$1:$X$4910,ROW(D508))</f>
        <v>SGP Singapore</v>
      </c>
      <c r="E508" s="548" t="s">
        <v>2947</v>
      </c>
      <c r="F508" s="549" t="s">
        <v>2948</v>
      </c>
      <c r="G508" s="548" t="s">
        <v>2948</v>
      </c>
      <c r="H508" s="548" t="s">
        <v>2947</v>
      </c>
      <c r="I508" s="548" t="s">
        <v>2949</v>
      </c>
      <c r="J508" s="549" t="str">
        <f aca="false">"[pt]"&amp;E508</f>
        <v>[pt]Singapur</v>
      </c>
      <c r="K508" s="549" t="str">
        <f aca="false">"[gr]"&amp;E508</f>
        <v>[gr]Singapur</v>
      </c>
      <c r="L508" s="619" t="s">
        <v>606</v>
      </c>
      <c r="M508" s="550" t="str">
        <f aca="false">IF(L508=A508,"","nix")</f>
        <v/>
      </c>
    </row>
    <row r="509" customFormat="false" ht="15.75" hidden="false" customHeight="true" outlineLevel="0" collapsed="false">
      <c r="A509" s="617" t="s">
        <v>608</v>
      </c>
      <c r="B509" s="569" t="s">
        <v>2950</v>
      </c>
      <c r="C509" s="617" t="s">
        <v>2951</v>
      </c>
      <c r="D509" s="552" t="str">
        <f aca="false">A509&amp;" "&amp;HLOOKUP($C$1,$E$1:$X$4910,ROW(D509))</f>
        <v>SLB Solomon Islands</v>
      </c>
      <c r="E509" s="548" t="s">
        <v>2952</v>
      </c>
      <c r="F509" s="549" t="s">
        <v>2953</v>
      </c>
      <c r="G509" s="548" t="s">
        <v>2954</v>
      </c>
      <c r="H509" s="548" t="s">
        <v>2955</v>
      </c>
      <c r="I509" s="548" t="s">
        <v>2956</v>
      </c>
      <c r="J509" s="549" t="str">
        <f aca="false">"[pt]"&amp;E509</f>
        <v>[pt]Salomonen</v>
      </c>
      <c r="K509" s="549" t="str">
        <f aca="false">"[gr]"&amp;E509</f>
        <v>[gr]Salomonen</v>
      </c>
      <c r="L509" s="619" t="s">
        <v>608</v>
      </c>
      <c r="M509" s="550" t="str">
        <f aca="false">IF(L509=A509,"","nix")</f>
        <v/>
      </c>
    </row>
    <row r="510" customFormat="false" ht="15.75" hidden="false" customHeight="true" outlineLevel="0" collapsed="false">
      <c r="A510" s="617" t="s">
        <v>610</v>
      </c>
      <c r="B510" s="569" t="s">
        <v>2957</v>
      </c>
      <c r="C510" s="617" t="s">
        <v>2958</v>
      </c>
      <c r="D510" s="552" t="str">
        <f aca="false">A510&amp;" "&amp;HLOOKUP($C$1,$E$1:$X$4910,ROW(D510))</f>
        <v>SLE Sierra Leone</v>
      </c>
      <c r="E510" s="548" t="s">
        <v>609</v>
      </c>
      <c r="F510" s="549" t="s">
        <v>2959</v>
      </c>
      <c r="G510" s="548" t="s">
        <v>2959</v>
      </c>
      <c r="H510" s="548" t="s">
        <v>2960</v>
      </c>
      <c r="I510" s="548" t="s">
        <v>609</v>
      </c>
      <c r="J510" s="549" t="str">
        <f aca="false">"[pt]"&amp;E510</f>
        <v>[pt]Sierra Leone</v>
      </c>
      <c r="K510" s="549" t="str">
        <f aca="false">"[gr]"&amp;E510</f>
        <v>[gr]Sierra Leone</v>
      </c>
      <c r="L510" s="619" t="s">
        <v>610</v>
      </c>
      <c r="M510" s="550" t="str">
        <f aca="false">IF(L510=A510,"","nix")</f>
        <v/>
      </c>
    </row>
    <row r="511" customFormat="false" ht="15.75" hidden="false" customHeight="true" outlineLevel="0" collapsed="false">
      <c r="A511" s="617" t="s">
        <v>612</v>
      </c>
      <c r="B511" s="569" t="s">
        <v>2961</v>
      </c>
      <c r="C511" s="617" t="s">
        <v>2962</v>
      </c>
      <c r="D511" s="552" t="str">
        <f aca="false">A511&amp;" "&amp;HLOOKUP($C$1,$E$1:$X$4910,ROW(D511))</f>
        <v>SLV El Salvador</v>
      </c>
      <c r="E511" s="548" t="s">
        <v>611</v>
      </c>
      <c r="F511" s="549" t="s">
        <v>2963</v>
      </c>
      <c r="G511" s="548" t="s">
        <v>2963</v>
      </c>
      <c r="H511" s="548" t="s">
        <v>611</v>
      </c>
      <c r="I511" s="548" t="s">
        <v>2964</v>
      </c>
      <c r="J511" s="549" t="str">
        <f aca="false">"[pt]"&amp;E511</f>
        <v>[pt]El Salvador</v>
      </c>
      <c r="K511" s="549" t="str">
        <f aca="false">"[gr]"&amp;E511</f>
        <v>[gr]El Salvador</v>
      </c>
      <c r="L511" s="619" t="s">
        <v>612</v>
      </c>
      <c r="M511" s="550" t="str">
        <f aca="false">IF(L511=A511,"","nix")</f>
        <v/>
      </c>
    </row>
    <row r="512" customFormat="false" ht="15.75" hidden="false" customHeight="true" outlineLevel="0" collapsed="false">
      <c r="A512" s="617" t="s">
        <v>614</v>
      </c>
      <c r="B512" s="569" t="s">
        <v>2965</v>
      </c>
      <c r="C512" s="617" t="s">
        <v>2966</v>
      </c>
      <c r="D512" s="552" t="str">
        <f aca="false">A512&amp;" "&amp;HLOOKUP($C$1,$E$1:$X$4910,ROW(D512))</f>
        <v>SMR San Marino</v>
      </c>
      <c r="E512" s="548" t="s">
        <v>613</v>
      </c>
      <c r="F512" s="549" t="s">
        <v>2967</v>
      </c>
      <c r="G512" s="548" t="s">
        <v>2967</v>
      </c>
      <c r="H512" s="548" t="s">
        <v>613</v>
      </c>
      <c r="I512" s="548" t="s">
        <v>2968</v>
      </c>
      <c r="J512" s="549" t="str">
        <f aca="false">"[pt]"&amp;E512</f>
        <v>[pt]San Marino</v>
      </c>
      <c r="K512" s="549" t="str">
        <f aca="false">"[gr]"&amp;E512</f>
        <v>[gr]San Marino</v>
      </c>
      <c r="L512" s="619" t="s">
        <v>614</v>
      </c>
      <c r="M512" s="550" t="str">
        <f aca="false">IF(L512=A512,"","nix")</f>
        <v/>
      </c>
    </row>
    <row r="513" customFormat="false" ht="15.75" hidden="false" customHeight="true" outlineLevel="0" collapsed="false">
      <c r="A513" s="617" t="s">
        <v>616</v>
      </c>
      <c r="B513" s="569" t="s">
        <v>2969</v>
      </c>
      <c r="C513" s="617" t="s">
        <v>2970</v>
      </c>
      <c r="D513" s="552" t="str">
        <f aca="false">A513&amp;" "&amp;HLOOKUP($C$1,$E$1:$X$4910,ROW(D513))</f>
        <v>SOM Somalia</v>
      </c>
      <c r="E513" s="548" t="s">
        <v>615</v>
      </c>
      <c r="F513" s="549" t="s">
        <v>2971</v>
      </c>
      <c r="G513" s="548" t="s">
        <v>2971</v>
      </c>
      <c r="H513" s="548" t="s">
        <v>615</v>
      </c>
      <c r="I513" s="548" t="s">
        <v>2972</v>
      </c>
      <c r="J513" s="549" t="str">
        <f aca="false">"[pt]"&amp;E513</f>
        <v>[pt]Somalia</v>
      </c>
      <c r="K513" s="549" t="str">
        <f aca="false">"[gr]"&amp;E513</f>
        <v>[gr]Somalia</v>
      </c>
      <c r="L513" s="619" t="s">
        <v>616</v>
      </c>
      <c r="M513" s="550" t="str">
        <f aca="false">IF(L513=A513,"","nix")</f>
        <v/>
      </c>
    </row>
    <row r="514" customFormat="false" ht="15.75" hidden="false" customHeight="true" outlineLevel="0" collapsed="false">
      <c r="A514" s="617" t="s">
        <v>618</v>
      </c>
      <c r="B514" s="569" t="s">
        <v>2973</v>
      </c>
      <c r="C514" s="617" t="s">
        <v>2974</v>
      </c>
      <c r="D514" s="552" t="str">
        <f aca="false">A514&amp;" "&amp;HLOOKUP($C$1,$E$1:$X$4910,ROW(D514))</f>
        <v>SRB Serbia</v>
      </c>
      <c r="E514" s="548" t="s">
        <v>2975</v>
      </c>
      <c r="F514" s="549" t="s">
        <v>2976</v>
      </c>
      <c r="G514" s="548" t="s">
        <v>2976</v>
      </c>
      <c r="H514" s="548" t="s">
        <v>617</v>
      </c>
      <c r="I514" s="548" t="s">
        <v>2977</v>
      </c>
      <c r="J514" s="549" t="str">
        <f aca="false">"[pt]"&amp;E514</f>
        <v>[pt]Serbien</v>
      </c>
      <c r="K514" s="549" t="str">
        <f aca="false">"[gr]"&amp;E514</f>
        <v>[gr]Serbien</v>
      </c>
      <c r="L514" s="619" t="s">
        <v>618</v>
      </c>
      <c r="M514" s="550" t="str">
        <f aca="false">IF(L514=A514,"","nix")</f>
        <v/>
      </c>
    </row>
    <row r="515" customFormat="false" ht="15.75" hidden="false" customHeight="true" outlineLevel="0" collapsed="false">
      <c r="A515" s="617" t="s">
        <v>620</v>
      </c>
      <c r="B515" s="569"/>
      <c r="C515" s="617" t="s">
        <v>2978</v>
      </c>
      <c r="D515" s="552" t="str">
        <f aca="false">A515&amp;" "&amp;HLOOKUP($C$1,$E$1:$X$4910,ROW(D515))</f>
        <v>SSD South Sudan</v>
      </c>
      <c r="E515" s="548" t="s">
        <v>2979</v>
      </c>
      <c r="F515" s="549" t="s">
        <v>2980</v>
      </c>
      <c r="G515" s="548" t="s">
        <v>2981</v>
      </c>
      <c r="H515" s="548" t="s">
        <v>2982</v>
      </c>
      <c r="I515" s="548" t="s">
        <v>2983</v>
      </c>
      <c r="J515" s="549" t="str">
        <f aca="false">"[pt]"&amp;E515</f>
        <v>[pt]Südsudan</v>
      </c>
      <c r="K515" s="549" t="str">
        <f aca="false">"[gr]"&amp;E515</f>
        <v>[gr]Südsudan</v>
      </c>
      <c r="L515" s="619" t="s">
        <v>620</v>
      </c>
      <c r="M515" s="550" t="str">
        <f aca="false">IF(L515=A515,"","nix")</f>
        <v/>
      </c>
    </row>
    <row r="516" customFormat="false" ht="15.75" hidden="false" customHeight="true" outlineLevel="0" collapsed="false">
      <c r="A516" s="617" t="s">
        <v>622</v>
      </c>
      <c r="B516" s="569" t="s">
        <v>2984</v>
      </c>
      <c r="C516" s="617" t="s">
        <v>2985</v>
      </c>
      <c r="D516" s="552" t="str">
        <f aca="false">A516&amp;" "&amp;HLOOKUP($C$1,$E$1:$X$4910,ROW(D516))</f>
        <v>STP Sao Tome and Principe</v>
      </c>
      <c r="E516" s="548" t="s">
        <v>2986</v>
      </c>
      <c r="F516" s="549" t="s">
        <v>2987</v>
      </c>
      <c r="G516" s="548" t="s">
        <v>2988</v>
      </c>
      <c r="H516" s="548" t="s">
        <v>2989</v>
      </c>
      <c r="I516" s="548" t="s">
        <v>2990</v>
      </c>
      <c r="J516" s="549" t="str">
        <f aca="false">"[pt]"&amp;E516</f>
        <v>[pt]São Tomé und Príncipe</v>
      </c>
      <c r="K516" s="549" t="str">
        <f aca="false">"[gr]"&amp;E516</f>
        <v>[gr]São Tomé und Príncipe</v>
      </c>
      <c r="L516" s="619" t="s">
        <v>622</v>
      </c>
      <c r="M516" s="550" t="str">
        <f aca="false">IF(L516=A516,"","nix")</f>
        <v/>
      </c>
    </row>
    <row r="517" customFormat="false" ht="15.75" hidden="false" customHeight="true" outlineLevel="0" collapsed="false">
      <c r="A517" s="617" t="s">
        <v>624</v>
      </c>
      <c r="B517" s="569" t="s">
        <v>2991</v>
      </c>
      <c r="C517" s="617" t="s">
        <v>2992</v>
      </c>
      <c r="D517" s="552" t="str">
        <f aca="false">A517&amp;" "&amp;HLOOKUP($C$1,$E$1:$X$4910,ROW(D517))</f>
        <v>SUR Suriname</v>
      </c>
      <c r="E517" s="548" t="s">
        <v>623</v>
      </c>
      <c r="F517" s="549" t="s">
        <v>2993</v>
      </c>
      <c r="G517" s="548" t="s">
        <v>2993</v>
      </c>
      <c r="H517" s="548" t="s">
        <v>2994</v>
      </c>
      <c r="I517" s="548" t="s">
        <v>2994</v>
      </c>
      <c r="J517" s="549" t="str">
        <f aca="false">"[pt]"&amp;E517</f>
        <v>[pt]Suriname</v>
      </c>
      <c r="K517" s="549" t="str">
        <f aca="false">"[gr]"&amp;E517</f>
        <v>[gr]Suriname</v>
      </c>
      <c r="L517" s="619" t="s">
        <v>624</v>
      </c>
      <c r="M517" s="550" t="str">
        <f aca="false">IF(L517=A517,"","nix")</f>
        <v/>
      </c>
    </row>
    <row r="518" customFormat="false" ht="15.75" hidden="false" customHeight="true" outlineLevel="0" collapsed="false">
      <c r="A518" s="617" t="s">
        <v>626</v>
      </c>
      <c r="B518" s="569" t="s">
        <v>2995</v>
      </c>
      <c r="C518" s="617" t="s">
        <v>2996</v>
      </c>
      <c r="D518" s="552" t="str">
        <f aca="false">A518&amp;" "&amp;HLOOKUP($C$1,$E$1:$X$4910,ROW(D518))</f>
        <v>SVK Slovakia</v>
      </c>
      <c r="E518" s="548" t="s">
        <v>2997</v>
      </c>
      <c r="F518" s="549" t="s">
        <v>2998</v>
      </c>
      <c r="G518" s="548" t="s">
        <v>2999</v>
      </c>
      <c r="H518" s="548" t="s">
        <v>3000</v>
      </c>
      <c r="I518" s="548" t="s">
        <v>3001</v>
      </c>
      <c r="J518" s="549" t="str">
        <f aca="false">"[pt]"&amp;E518</f>
        <v>[pt]Slowakei</v>
      </c>
      <c r="K518" s="549" t="str">
        <f aca="false">"[gr]"&amp;E518</f>
        <v>[gr]Slowakei</v>
      </c>
      <c r="L518" s="619" t="s">
        <v>626</v>
      </c>
      <c r="M518" s="550" t="str">
        <f aca="false">IF(L518=A518,"","nix")</f>
        <v/>
      </c>
    </row>
    <row r="519" customFormat="false" ht="15.75" hidden="false" customHeight="true" outlineLevel="0" collapsed="false">
      <c r="A519" s="617" t="s">
        <v>628</v>
      </c>
      <c r="B519" s="569" t="s">
        <v>3002</v>
      </c>
      <c r="C519" s="617" t="s">
        <v>3003</v>
      </c>
      <c r="D519" s="552" t="str">
        <f aca="false">A519&amp;" "&amp;HLOOKUP($C$1,$E$1:$X$4910,ROW(D519))</f>
        <v>SVN Slovenia</v>
      </c>
      <c r="E519" s="548" t="s">
        <v>3004</v>
      </c>
      <c r="F519" s="549" t="s">
        <v>3005</v>
      </c>
      <c r="G519" s="548" t="s">
        <v>3005</v>
      </c>
      <c r="H519" s="548" t="s">
        <v>3006</v>
      </c>
      <c r="I519" s="548" t="s">
        <v>3007</v>
      </c>
      <c r="J519" s="549" t="str">
        <f aca="false">"[pt]"&amp;E519</f>
        <v>[pt]Slowenien</v>
      </c>
      <c r="K519" s="549" t="str">
        <f aca="false">"[gr]"&amp;E519</f>
        <v>[gr]Slowenien</v>
      </c>
      <c r="L519" s="619" t="s">
        <v>628</v>
      </c>
      <c r="M519" s="550" t="str">
        <f aca="false">IF(L519=A519,"","nix")</f>
        <v/>
      </c>
    </row>
    <row r="520" customFormat="false" ht="15.75" hidden="false" customHeight="true" outlineLevel="0" collapsed="false">
      <c r="A520" s="617" t="s">
        <v>630</v>
      </c>
      <c r="B520" s="569" t="s">
        <v>3008</v>
      </c>
      <c r="C520" s="617" t="s">
        <v>3009</v>
      </c>
      <c r="D520" s="552" t="str">
        <f aca="false">A520&amp;" "&amp;HLOOKUP($C$1,$E$1:$X$4910,ROW(D520))</f>
        <v>SWE Sweden</v>
      </c>
      <c r="E520" s="548" t="s">
        <v>3010</v>
      </c>
      <c r="F520" s="549" t="s">
        <v>3011</v>
      </c>
      <c r="G520" s="548" t="s">
        <v>3012</v>
      </c>
      <c r="H520" s="548" t="s">
        <v>3013</v>
      </c>
      <c r="I520" s="548" t="s">
        <v>3014</v>
      </c>
      <c r="J520" s="549" t="str">
        <f aca="false">"[pt]"&amp;E520</f>
        <v>[pt]Schweden</v>
      </c>
      <c r="K520" s="549" t="str">
        <f aca="false">"[gr]"&amp;E520</f>
        <v>[gr]Schweden</v>
      </c>
      <c r="L520" s="619" t="s">
        <v>630</v>
      </c>
      <c r="M520" s="550" t="str">
        <f aca="false">IF(L520=A520,"","nix")</f>
        <v/>
      </c>
    </row>
    <row r="521" customFormat="false" ht="15.75" hidden="false" customHeight="true" outlineLevel="0" collapsed="false">
      <c r="A521" s="617" t="s">
        <v>632</v>
      </c>
      <c r="B521" s="569" t="s">
        <v>3015</v>
      </c>
      <c r="C521" s="617" t="s">
        <v>3016</v>
      </c>
      <c r="D521" s="552" t="str">
        <f aca="false">A521&amp;" "&amp;HLOOKUP($C$1,$E$1:$X$4910,ROW(D521))</f>
        <v>SWZ Swaziland</v>
      </c>
      <c r="E521" s="548" t="s">
        <v>3017</v>
      </c>
      <c r="F521" s="549" t="s">
        <v>3018</v>
      </c>
      <c r="G521" s="548" t="s">
        <v>3018</v>
      </c>
      <c r="H521" s="548" t="s">
        <v>3019</v>
      </c>
      <c r="I521" s="548" t="s">
        <v>631</v>
      </c>
      <c r="J521" s="549" t="str">
        <f aca="false">"[pt]"&amp;E521</f>
        <v>[pt]Swasiland</v>
      </c>
      <c r="K521" s="549" t="str">
        <f aca="false">"[gr]"&amp;E521</f>
        <v>[gr]Swasiland</v>
      </c>
      <c r="L521" s="619" t="s">
        <v>632</v>
      </c>
      <c r="M521" s="550" t="str">
        <f aca="false">IF(L521=A521,"","nix")</f>
        <v/>
      </c>
    </row>
    <row r="522" customFormat="false" ht="15.75" hidden="false" customHeight="true" outlineLevel="0" collapsed="false">
      <c r="A522" s="617" t="s">
        <v>634</v>
      </c>
      <c r="B522" s="569" t="s">
        <v>3020</v>
      </c>
      <c r="C522" s="617" t="s">
        <v>3021</v>
      </c>
      <c r="D522" s="552" t="str">
        <f aca="false">A522&amp;" "&amp;HLOOKUP($C$1,$E$1:$X$4910,ROW(D522))</f>
        <v>SXM Sint Maarten (Dutch part)</v>
      </c>
      <c r="E522" s="548" t="s">
        <v>3022</v>
      </c>
      <c r="F522" s="549" t="s">
        <v>3023</v>
      </c>
      <c r="G522" s="548" t="s">
        <v>3024</v>
      </c>
      <c r="H522" s="548" t="s">
        <v>3025</v>
      </c>
      <c r="I522" s="548" t="s">
        <v>2675</v>
      </c>
      <c r="J522" s="549" t="str">
        <f aca="false">"[pt]"&amp;E522</f>
        <v>[pt]Sint Maarten (niederl. Teil)</v>
      </c>
      <c r="K522" s="549" t="str">
        <f aca="false">"[gr]"&amp;E522</f>
        <v>[gr]Sint Maarten (niederl. Teil)</v>
      </c>
      <c r="L522" s="619" t="s">
        <v>634</v>
      </c>
      <c r="M522" s="550" t="str">
        <f aca="false">IF(L522=A522,"","nix")</f>
        <v/>
      </c>
    </row>
    <row r="523" customFormat="false" ht="15.75" hidden="false" customHeight="true" outlineLevel="0" collapsed="false">
      <c r="A523" s="617" t="s">
        <v>636</v>
      </c>
      <c r="B523" s="569" t="s">
        <v>3026</v>
      </c>
      <c r="C523" s="617" t="s">
        <v>3027</v>
      </c>
      <c r="D523" s="552" t="str">
        <f aca="false">A523&amp;" "&amp;HLOOKUP($C$1,$E$1:$X$4910,ROW(D523))</f>
        <v>SYC Seychelles</v>
      </c>
      <c r="E523" s="548" t="s">
        <v>3028</v>
      </c>
      <c r="F523" s="549" t="s">
        <v>3029</v>
      </c>
      <c r="G523" s="548" t="s">
        <v>3029</v>
      </c>
      <c r="H523" s="548" t="s">
        <v>635</v>
      </c>
      <c r="I523" s="548" t="s">
        <v>635</v>
      </c>
      <c r="J523" s="549" t="str">
        <f aca="false">"[pt]"&amp;E523</f>
        <v>[pt]Seychellen</v>
      </c>
      <c r="K523" s="549" t="str">
        <f aca="false">"[gr]"&amp;E523</f>
        <v>[gr]Seychellen</v>
      </c>
      <c r="L523" s="619" t="s">
        <v>636</v>
      </c>
      <c r="M523" s="550" t="str">
        <f aca="false">IF(L523=A523,"","nix")</f>
        <v/>
      </c>
    </row>
    <row r="524" customFormat="false" ht="15.75" hidden="false" customHeight="true" outlineLevel="0" collapsed="false">
      <c r="A524" s="617" t="s">
        <v>638</v>
      </c>
      <c r="B524" s="569" t="s">
        <v>3030</v>
      </c>
      <c r="C524" s="617" t="s">
        <v>3031</v>
      </c>
      <c r="D524" s="552" t="str">
        <f aca="false">A524&amp;" "&amp;HLOOKUP($C$1,$E$1:$X$4910,ROW(D524))</f>
        <v>SYR Syrian Arab Republic</v>
      </c>
      <c r="E524" s="548" t="s">
        <v>3032</v>
      </c>
      <c r="F524" s="549" t="s">
        <v>3033</v>
      </c>
      <c r="G524" s="548" t="s">
        <v>3034</v>
      </c>
      <c r="H524" s="548" t="s">
        <v>3035</v>
      </c>
      <c r="I524" s="548" t="s">
        <v>3036</v>
      </c>
      <c r="J524" s="549" t="str">
        <f aca="false">"[pt]"&amp;E524</f>
        <v>[pt]Syrien, Arabische Republik</v>
      </c>
      <c r="K524" s="549" t="str">
        <f aca="false">"[gr]"&amp;E524</f>
        <v>[gr]Syrien, Arabische Republik</v>
      </c>
      <c r="L524" s="619" t="s">
        <v>638</v>
      </c>
      <c r="M524" s="550" t="str">
        <f aca="false">IF(L524=A524,"","nix")</f>
        <v/>
      </c>
    </row>
    <row r="525" customFormat="false" ht="15.75" hidden="false" customHeight="true" outlineLevel="0" collapsed="false">
      <c r="A525" s="617" t="s">
        <v>640</v>
      </c>
      <c r="B525" s="569" t="s">
        <v>3037</v>
      </c>
      <c r="C525" s="617" t="s">
        <v>3038</v>
      </c>
      <c r="D525" s="552" t="str">
        <f aca="false">A525&amp;" "&amp;HLOOKUP($C$1,$E$1:$X$4910,ROW(D525))</f>
        <v>TCA Turks and Caicos Islands</v>
      </c>
      <c r="E525" s="548" t="s">
        <v>3039</v>
      </c>
      <c r="F525" s="549" t="s">
        <v>3040</v>
      </c>
      <c r="G525" s="548" t="s">
        <v>3041</v>
      </c>
      <c r="H525" s="548" t="s">
        <v>3042</v>
      </c>
      <c r="I525" s="548" t="s">
        <v>3043</v>
      </c>
      <c r="J525" s="549" t="str">
        <f aca="false">"[pt]"&amp;E525</f>
        <v>[pt]Turks- und Caicosinseln</v>
      </c>
      <c r="K525" s="549" t="str">
        <f aca="false">"[gr]"&amp;E525</f>
        <v>[gr]Turks- und Caicosinseln</v>
      </c>
      <c r="L525" s="619" t="s">
        <v>640</v>
      </c>
      <c r="M525" s="550" t="str">
        <f aca="false">IF(L525=A525,"","nix")</f>
        <v/>
      </c>
    </row>
    <row r="526" customFormat="false" ht="15.75" hidden="false" customHeight="true" outlineLevel="0" collapsed="false">
      <c r="A526" s="617" t="s">
        <v>642</v>
      </c>
      <c r="B526" s="569" t="s">
        <v>3044</v>
      </c>
      <c r="C526" s="617" t="s">
        <v>3045</v>
      </c>
      <c r="D526" s="552" t="str">
        <f aca="false">A526&amp;" "&amp;HLOOKUP($C$1,$E$1:$X$4910,ROW(D526))</f>
        <v>TCD Chad</v>
      </c>
      <c r="E526" s="548" t="s">
        <v>3046</v>
      </c>
      <c r="F526" s="549" t="s">
        <v>3047</v>
      </c>
      <c r="G526" s="548" t="s">
        <v>3048</v>
      </c>
      <c r="H526" s="548" t="s">
        <v>641</v>
      </c>
      <c r="I526" s="548" t="s">
        <v>3049</v>
      </c>
      <c r="J526" s="549" t="str">
        <f aca="false">"[pt]"&amp;E526</f>
        <v>[pt]Tschad</v>
      </c>
      <c r="K526" s="549" t="str">
        <f aca="false">"[gr]"&amp;E526</f>
        <v>[gr]Tschad</v>
      </c>
      <c r="L526" s="619" t="s">
        <v>642</v>
      </c>
      <c r="M526" s="550" t="str">
        <f aca="false">IF(L526=A526,"","nix")</f>
        <v/>
      </c>
    </row>
    <row r="527" customFormat="false" ht="15.75" hidden="false" customHeight="true" outlineLevel="0" collapsed="false">
      <c r="A527" s="617" t="s">
        <v>644</v>
      </c>
      <c r="B527" s="569" t="s">
        <v>3050</v>
      </c>
      <c r="C527" s="617" t="s">
        <v>3051</v>
      </c>
      <c r="D527" s="552" t="str">
        <f aca="false">A527&amp;" "&amp;HLOOKUP($C$1,$E$1:$X$4910,ROW(D527))</f>
        <v>TGO Togo</v>
      </c>
      <c r="E527" s="548" t="s">
        <v>643</v>
      </c>
      <c r="F527" s="549" t="s">
        <v>3052</v>
      </c>
      <c r="G527" s="548" t="s">
        <v>3052</v>
      </c>
      <c r="H527" s="548" t="s">
        <v>643</v>
      </c>
      <c r="I527" s="548" t="s">
        <v>643</v>
      </c>
      <c r="J527" s="549" t="str">
        <f aca="false">"[pt]"&amp;E527</f>
        <v>[pt]Togo</v>
      </c>
      <c r="K527" s="549" t="str">
        <f aca="false">"[gr]"&amp;E527</f>
        <v>[gr]Togo</v>
      </c>
      <c r="L527" s="619" t="s">
        <v>644</v>
      </c>
      <c r="M527" s="550" t="str">
        <f aca="false">IF(L527=A527,"","nix")</f>
        <v/>
      </c>
    </row>
    <row r="528" customFormat="false" ht="15.75" hidden="false" customHeight="true" outlineLevel="0" collapsed="false">
      <c r="A528" s="617" t="s">
        <v>646</v>
      </c>
      <c r="B528" s="569" t="s">
        <v>3053</v>
      </c>
      <c r="C528" s="617" t="s">
        <v>3054</v>
      </c>
      <c r="D528" s="552" t="str">
        <f aca="false">A528&amp;" "&amp;HLOOKUP($C$1,$E$1:$X$4910,ROW(D528))</f>
        <v>THA Thailand</v>
      </c>
      <c r="E528" s="548" t="s">
        <v>645</v>
      </c>
      <c r="F528" s="549" t="s">
        <v>3055</v>
      </c>
      <c r="G528" s="548" t="s">
        <v>3056</v>
      </c>
      <c r="H528" s="548" t="s">
        <v>3057</v>
      </c>
      <c r="I528" s="548" t="s">
        <v>3058</v>
      </c>
      <c r="J528" s="549" t="str">
        <f aca="false">"[pt]"&amp;E528</f>
        <v>[pt]Thailand</v>
      </c>
      <c r="K528" s="549" t="str">
        <f aca="false">"[gr]"&amp;E528</f>
        <v>[gr]Thailand</v>
      </c>
      <c r="L528" s="619" t="s">
        <v>646</v>
      </c>
      <c r="M528" s="550" t="str">
        <f aca="false">IF(L528=A528,"","nix")</f>
        <v/>
      </c>
    </row>
    <row r="529" customFormat="false" ht="15.75" hidden="false" customHeight="true" outlineLevel="0" collapsed="false">
      <c r="A529" s="617" t="s">
        <v>648</v>
      </c>
      <c r="B529" s="569" t="s">
        <v>3059</v>
      </c>
      <c r="C529" s="617" t="s">
        <v>3060</v>
      </c>
      <c r="D529" s="552" t="str">
        <f aca="false">A529&amp;" "&amp;HLOOKUP($C$1,$E$1:$X$4910,ROW(D529))</f>
        <v>TJK Tajikistan</v>
      </c>
      <c r="E529" s="548" t="s">
        <v>3061</v>
      </c>
      <c r="F529" s="549" t="s">
        <v>3062</v>
      </c>
      <c r="G529" s="548" t="s">
        <v>3063</v>
      </c>
      <c r="H529" s="548" t="s">
        <v>3064</v>
      </c>
      <c r="I529" s="548" t="s">
        <v>647</v>
      </c>
      <c r="J529" s="549" t="str">
        <f aca="false">"[pt]"&amp;E529</f>
        <v>[pt]Tadschikistan</v>
      </c>
      <c r="K529" s="549" t="str">
        <f aca="false">"[gr]"&amp;E529</f>
        <v>[gr]Tadschikistan</v>
      </c>
      <c r="L529" s="619" t="s">
        <v>648</v>
      </c>
      <c r="M529" s="550" t="str">
        <f aca="false">IF(L529=A529,"","nix")</f>
        <v/>
      </c>
    </row>
    <row r="530" customFormat="false" ht="15.75" hidden="false" customHeight="true" outlineLevel="0" collapsed="false">
      <c r="A530" s="617" t="s">
        <v>650</v>
      </c>
      <c r="B530" s="569" t="s">
        <v>3065</v>
      </c>
      <c r="C530" s="617" t="s">
        <v>3066</v>
      </c>
      <c r="D530" s="552" t="str">
        <f aca="false">A530&amp;" "&amp;HLOOKUP($C$1,$E$1:$X$4910,ROW(D530))</f>
        <v>TKM Turkmenistan</v>
      </c>
      <c r="E530" s="548" t="s">
        <v>649</v>
      </c>
      <c r="F530" s="549" t="s">
        <v>3067</v>
      </c>
      <c r="G530" s="548" t="s">
        <v>3067</v>
      </c>
      <c r="H530" s="548" t="s">
        <v>3068</v>
      </c>
      <c r="I530" s="548" t="s">
        <v>3069</v>
      </c>
      <c r="J530" s="549" t="str">
        <f aca="false">"[pt]"&amp;E530</f>
        <v>[pt]Turkmenistan</v>
      </c>
      <c r="K530" s="549" t="str">
        <f aca="false">"[gr]"&amp;E530</f>
        <v>[gr]Turkmenistan</v>
      </c>
      <c r="L530" s="619" t="s">
        <v>650</v>
      </c>
      <c r="M530" s="550" t="str">
        <f aca="false">IF(L530=A530,"","nix")</f>
        <v/>
      </c>
    </row>
    <row r="531" customFormat="false" ht="15.75" hidden="false" customHeight="true" outlineLevel="0" collapsed="false">
      <c r="A531" s="617" t="s">
        <v>652</v>
      </c>
      <c r="B531" s="569" t="s">
        <v>3070</v>
      </c>
      <c r="C531" s="617" t="s">
        <v>3071</v>
      </c>
      <c r="D531" s="552" t="str">
        <f aca="false">A531&amp;" "&amp;HLOOKUP($C$1,$E$1:$X$4910,ROW(D531))</f>
        <v>TLS Timor-Leste</v>
      </c>
      <c r="E531" s="548" t="s">
        <v>3072</v>
      </c>
      <c r="F531" s="549" t="s">
        <v>3073</v>
      </c>
      <c r="G531" s="548" t="s">
        <v>3074</v>
      </c>
      <c r="H531" s="548" t="s">
        <v>3075</v>
      </c>
      <c r="I531" s="548" t="s">
        <v>3076</v>
      </c>
      <c r="J531" s="549" t="str">
        <f aca="false">"[pt]"&amp;E531</f>
        <v>[pt]Osttimor (Timor-Leste)</v>
      </c>
      <c r="K531" s="549" t="str">
        <f aca="false">"[gr]"&amp;E531</f>
        <v>[gr]Osttimor (Timor-Leste)</v>
      </c>
      <c r="L531" s="619" t="s">
        <v>652</v>
      </c>
      <c r="M531" s="550" t="str">
        <f aca="false">IF(L531=A531,"","nix")</f>
        <v/>
      </c>
    </row>
    <row r="532" customFormat="false" ht="15.75" hidden="false" customHeight="true" outlineLevel="0" collapsed="false">
      <c r="A532" s="617" t="s">
        <v>654</v>
      </c>
      <c r="B532" s="569" t="s">
        <v>3077</v>
      </c>
      <c r="C532" s="617" t="s">
        <v>3078</v>
      </c>
      <c r="D532" s="552" t="str">
        <f aca="false">A532&amp;" "&amp;HLOOKUP($C$1,$E$1:$X$4910,ROW(D532))</f>
        <v>TON Tonga</v>
      </c>
      <c r="E532" s="548" t="s">
        <v>653</v>
      </c>
      <c r="F532" s="549" t="s">
        <v>3079</v>
      </c>
      <c r="G532" s="548" t="s">
        <v>3079</v>
      </c>
      <c r="H532" s="548" t="s">
        <v>653</v>
      </c>
      <c r="I532" s="548" t="s">
        <v>653</v>
      </c>
      <c r="J532" s="549" t="str">
        <f aca="false">"[pt]"&amp;E532</f>
        <v>[pt]Tonga</v>
      </c>
      <c r="K532" s="549" t="str">
        <f aca="false">"[gr]"&amp;E532</f>
        <v>[gr]Tonga</v>
      </c>
      <c r="L532" s="619" t="s">
        <v>654</v>
      </c>
      <c r="M532" s="550" t="str">
        <f aca="false">IF(L532=A532,"","nix")</f>
        <v/>
      </c>
    </row>
    <row r="533" customFormat="false" ht="15.75" hidden="false" customHeight="true" outlineLevel="0" collapsed="false">
      <c r="A533" s="617" t="s">
        <v>656</v>
      </c>
      <c r="B533" s="569" t="s">
        <v>3080</v>
      </c>
      <c r="C533" s="617" t="s">
        <v>3081</v>
      </c>
      <c r="D533" s="552" t="str">
        <f aca="false">A533&amp;" "&amp;HLOOKUP($C$1,$E$1:$X$4910,ROW(D533))</f>
        <v>TTO Trinidad and Tobago</v>
      </c>
      <c r="E533" s="548" t="s">
        <v>3082</v>
      </c>
      <c r="F533" s="549" t="s">
        <v>3083</v>
      </c>
      <c r="G533" s="548" t="s">
        <v>3084</v>
      </c>
      <c r="H533" s="548" t="s">
        <v>3085</v>
      </c>
      <c r="I533" s="548" t="s">
        <v>3086</v>
      </c>
      <c r="J533" s="549" t="str">
        <f aca="false">"[pt]"&amp;E533</f>
        <v>[pt]Trinidad und Tobago</v>
      </c>
      <c r="K533" s="549" t="str">
        <f aca="false">"[gr]"&amp;E533</f>
        <v>[gr]Trinidad und Tobago</v>
      </c>
      <c r="L533" s="619" t="s">
        <v>656</v>
      </c>
      <c r="M533" s="550" t="str">
        <f aca="false">IF(L533=A533,"","nix")</f>
        <v/>
      </c>
    </row>
    <row r="534" customFormat="false" ht="15.75" hidden="false" customHeight="true" outlineLevel="0" collapsed="false">
      <c r="A534" s="617" t="s">
        <v>658</v>
      </c>
      <c r="B534" s="569" t="s">
        <v>3087</v>
      </c>
      <c r="C534" s="617" t="s">
        <v>3088</v>
      </c>
      <c r="D534" s="552" t="str">
        <f aca="false">A534&amp;" "&amp;HLOOKUP($C$1,$E$1:$X$4910,ROW(D534))</f>
        <v>TUN Tunisia</v>
      </c>
      <c r="E534" s="548" t="s">
        <v>3089</v>
      </c>
      <c r="F534" s="549" t="s">
        <v>3090</v>
      </c>
      <c r="G534" s="548" t="s">
        <v>3090</v>
      </c>
      <c r="H534" s="548" t="s">
        <v>3091</v>
      </c>
      <c r="I534" s="548" t="s">
        <v>3092</v>
      </c>
      <c r="J534" s="549" t="str">
        <f aca="false">"[pt]"&amp;E534</f>
        <v>[pt]Tunesien</v>
      </c>
      <c r="K534" s="549" t="str">
        <f aca="false">"[gr]"&amp;E534</f>
        <v>[gr]Tunesien</v>
      </c>
      <c r="L534" s="619" t="s">
        <v>658</v>
      </c>
      <c r="M534" s="550" t="str">
        <f aca="false">IF(L534=A534,"","nix")</f>
        <v/>
      </c>
    </row>
    <row r="535" customFormat="false" ht="15.75" hidden="false" customHeight="true" outlineLevel="0" collapsed="false">
      <c r="A535" s="617" t="s">
        <v>660</v>
      </c>
      <c r="B535" s="569" t="s">
        <v>3093</v>
      </c>
      <c r="C535" s="617" t="s">
        <v>3094</v>
      </c>
      <c r="D535" s="552" t="str">
        <f aca="false">A535&amp;" "&amp;HLOOKUP($C$1,$E$1:$X$4910,ROW(D535))</f>
        <v>TUR Turkey</v>
      </c>
      <c r="E535" s="548" t="s">
        <v>3095</v>
      </c>
      <c r="F535" s="549" t="s">
        <v>3096</v>
      </c>
      <c r="G535" s="548" t="s">
        <v>3097</v>
      </c>
      <c r="H535" s="548" t="s">
        <v>3098</v>
      </c>
      <c r="I535" s="548" t="s">
        <v>3099</v>
      </c>
      <c r="J535" s="549" t="str">
        <f aca="false">"[pt]"&amp;E535</f>
        <v>[pt]Türkei</v>
      </c>
      <c r="K535" s="549" t="str">
        <f aca="false">"[gr]"&amp;E535</f>
        <v>[gr]Türkei</v>
      </c>
      <c r="L535" s="619" t="s">
        <v>660</v>
      </c>
      <c r="M535" s="550" t="str">
        <f aca="false">IF(L535=A535,"","nix")</f>
        <v/>
      </c>
    </row>
    <row r="536" customFormat="false" ht="15.75" hidden="false" customHeight="true" outlineLevel="0" collapsed="false">
      <c r="A536" s="617" t="s">
        <v>662</v>
      </c>
      <c r="B536" s="569" t="s">
        <v>3100</v>
      </c>
      <c r="C536" s="617" t="s">
        <v>3101</v>
      </c>
      <c r="D536" s="552" t="str">
        <f aca="false">A536&amp;" "&amp;HLOOKUP($C$1,$E$1:$X$4910,ROW(D536))</f>
        <v>TUV Tuvalu</v>
      </c>
      <c r="E536" s="548" t="s">
        <v>661</v>
      </c>
      <c r="F536" s="549" t="s">
        <v>3102</v>
      </c>
      <c r="G536" s="548" t="s">
        <v>3102</v>
      </c>
      <c r="H536" s="548" t="s">
        <v>661</v>
      </c>
      <c r="I536" s="548" t="s">
        <v>661</v>
      </c>
      <c r="J536" s="549" t="str">
        <f aca="false">"[pt]"&amp;E536</f>
        <v>[pt]Tuvalu</v>
      </c>
      <c r="K536" s="549" t="str">
        <f aca="false">"[gr]"&amp;E536</f>
        <v>[gr]Tuvalu</v>
      </c>
      <c r="L536" s="619" t="s">
        <v>662</v>
      </c>
      <c r="M536" s="550" t="str">
        <f aca="false">IF(L536=A536,"","nix")</f>
        <v/>
      </c>
    </row>
    <row r="537" customFormat="false" ht="15.75" hidden="false" customHeight="true" outlineLevel="0" collapsed="false">
      <c r="A537" s="617" t="s">
        <v>664</v>
      </c>
      <c r="B537" s="569" t="s">
        <v>3103</v>
      </c>
      <c r="C537" s="617" t="s">
        <v>3104</v>
      </c>
      <c r="D537" s="552" t="str">
        <f aca="false">A537&amp;" "&amp;HLOOKUP($C$1,$E$1:$X$4910,ROW(D537))</f>
        <v>TZA Tanzania, United Republic of</v>
      </c>
      <c r="E537" s="548" t="s">
        <v>3105</v>
      </c>
      <c r="F537" s="549" t="s">
        <v>3106</v>
      </c>
      <c r="G537" s="548" t="s">
        <v>3107</v>
      </c>
      <c r="H537" s="548" t="s">
        <v>663</v>
      </c>
      <c r="I537" s="548" t="s">
        <v>3108</v>
      </c>
      <c r="J537" s="549" t="str">
        <f aca="false">"[pt]"&amp;E537</f>
        <v>[pt]Tansania, Vereinigte Republik</v>
      </c>
      <c r="K537" s="549" t="str">
        <f aca="false">"[gr]"&amp;E537</f>
        <v>[gr]Tansania, Vereinigte Republik</v>
      </c>
      <c r="L537" s="619" t="s">
        <v>664</v>
      </c>
      <c r="M537" s="550" t="str">
        <f aca="false">IF(L537=A537,"","nix")</f>
        <v/>
      </c>
    </row>
    <row r="538" customFormat="false" ht="15.75" hidden="false" customHeight="true" outlineLevel="0" collapsed="false">
      <c r="A538" s="617" t="s">
        <v>666</v>
      </c>
      <c r="B538" s="569" t="s">
        <v>3109</v>
      </c>
      <c r="C538" s="617" t="s">
        <v>3110</v>
      </c>
      <c r="D538" s="552" t="str">
        <f aca="false">A538&amp;" "&amp;HLOOKUP($C$1,$E$1:$X$4910,ROW(D538))</f>
        <v>UGA Uganda</v>
      </c>
      <c r="E538" s="548" t="s">
        <v>665</v>
      </c>
      <c r="F538" s="549" t="s">
        <v>3111</v>
      </c>
      <c r="G538" s="548" t="s">
        <v>3111</v>
      </c>
      <c r="H538" s="548" t="s">
        <v>665</v>
      </c>
      <c r="I538" s="548" t="s">
        <v>3112</v>
      </c>
      <c r="J538" s="549" t="str">
        <f aca="false">"[pt]"&amp;E538</f>
        <v>[pt]Uganda</v>
      </c>
      <c r="K538" s="549" t="str">
        <f aca="false">"[gr]"&amp;E538</f>
        <v>[gr]Uganda</v>
      </c>
      <c r="L538" s="619" t="s">
        <v>666</v>
      </c>
      <c r="M538" s="550" t="str">
        <f aca="false">IF(L538=A538,"","nix")</f>
        <v/>
      </c>
    </row>
    <row r="539" customFormat="false" ht="15.75" hidden="false" customHeight="true" outlineLevel="0" collapsed="false">
      <c r="A539" s="617" t="s">
        <v>668</v>
      </c>
      <c r="B539" s="569" t="s">
        <v>3113</v>
      </c>
      <c r="C539" s="617" t="s">
        <v>3114</v>
      </c>
      <c r="D539" s="552" t="str">
        <f aca="false">A539&amp;" "&amp;HLOOKUP($C$1,$E$1:$X$4910,ROW(D539))</f>
        <v>UKR Ukraine</v>
      </c>
      <c r="E539" s="548" t="s">
        <v>667</v>
      </c>
      <c r="F539" s="549" t="s">
        <v>3115</v>
      </c>
      <c r="G539" s="548" t="s">
        <v>3116</v>
      </c>
      <c r="H539" s="548" t="s">
        <v>3117</v>
      </c>
      <c r="I539" s="548" t="s">
        <v>667</v>
      </c>
      <c r="J539" s="549" t="str">
        <f aca="false">"[pt]"&amp;E539</f>
        <v>[pt]Ukraine</v>
      </c>
      <c r="K539" s="549" t="str">
        <f aca="false">"[gr]"&amp;E539</f>
        <v>[gr]Ukraine</v>
      </c>
      <c r="L539" s="619" t="s">
        <v>668</v>
      </c>
      <c r="M539" s="550" t="str">
        <f aca="false">IF(L539=A539,"","nix")</f>
        <v/>
      </c>
    </row>
    <row r="540" customFormat="false" ht="15.75" hidden="false" customHeight="true" outlineLevel="0" collapsed="false">
      <c r="A540" s="617" t="s">
        <v>670</v>
      </c>
      <c r="B540" s="569" t="s">
        <v>3118</v>
      </c>
      <c r="C540" s="617" t="s">
        <v>3119</v>
      </c>
      <c r="D540" s="552" t="str">
        <f aca="false">A540&amp;" "&amp;HLOOKUP($C$1,$E$1:$X$4910,ROW(D540))</f>
        <v>URY Uruguay</v>
      </c>
      <c r="E540" s="548" t="s">
        <v>669</v>
      </c>
      <c r="F540" s="549" t="s">
        <v>3120</v>
      </c>
      <c r="G540" s="548" t="s">
        <v>3120</v>
      </c>
      <c r="H540" s="548" t="s">
        <v>669</v>
      </c>
      <c r="I540" s="548" t="s">
        <v>669</v>
      </c>
      <c r="J540" s="549" t="str">
        <f aca="false">"[pt]"&amp;E540</f>
        <v>[pt]Uruguay</v>
      </c>
      <c r="K540" s="549" t="str">
        <f aca="false">"[gr]"&amp;E540</f>
        <v>[gr]Uruguay</v>
      </c>
      <c r="L540" s="619" t="s">
        <v>670</v>
      </c>
      <c r="M540" s="550" t="str">
        <f aca="false">IF(L540=A540,"","nix")</f>
        <v/>
      </c>
    </row>
    <row r="541" customFormat="false" ht="15.75" hidden="false" customHeight="true" outlineLevel="0" collapsed="false">
      <c r="A541" s="617" t="s">
        <v>672</v>
      </c>
      <c r="B541" s="569" t="s">
        <v>3121</v>
      </c>
      <c r="C541" s="617" t="s">
        <v>3122</v>
      </c>
      <c r="D541" s="552" t="str">
        <f aca="false">A541&amp;" "&amp;HLOOKUP($C$1,$E$1:$X$4910,ROW(D541))</f>
        <v>USA United States</v>
      </c>
      <c r="E541" s="548" t="s">
        <v>3123</v>
      </c>
      <c r="F541" s="549" t="s">
        <v>3124</v>
      </c>
      <c r="G541" s="548" t="s">
        <v>3125</v>
      </c>
      <c r="H541" s="548" t="s">
        <v>3126</v>
      </c>
      <c r="I541" s="548" t="s">
        <v>3127</v>
      </c>
      <c r="J541" s="549" t="str">
        <f aca="false">"[pt]"&amp;E541</f>
        <v>[pt]Vereinigte Staaten von Amerika</v>
      </c>
      <c r="K541" s="549" t="str">
        <f aca="false">"[gr]"&amp;E541</f>
        <v>[gr]Vereinigte Staaten von Amerika</v>
      </c>
      <c r="L541" s="619" t="s">
        <v>672</v>
      </c>
      <c r="M541" s="550" t="str">
        <f aca="false">IF(L541=A541,"","nix")</f>
        <v/>
      </c>
    </row>
    <row r="542" customFormat="false" ht="15.75" hidden="false" customHeight="true" outlineLevel="0" collapsed="false">
      <c r="A542" s="617" t="s">
        <v>674</v>
      </c>
      <c r="B542" s="569" t="s">
        <v>3128</v>
      </c>
      <c r="C542" s="617" t="s">
        <v>3129</v>
      </c>
      <c r="D542" s="552" t="str">
        <f aca="false">A542&amp;" "&amp;HLOOKUP($C$1,$E$1:$X$4910,ROW(D542))</f>
        <v>UZB Uzbekistan</v>
      </c>
      <c r="E542" s="548" t="s">
        <v>3130</v>
      </c>
      <c r="F542" s="549" t="s">
        <v>3131</v>
      </c>
      <c r="G542" s="548" t="s">
        <v>3131</v>
      </c>
      <c r="H542" s="548" t="s">
        <v>3132</v>
      </c>
      <c r="I542" s="548" t="s">
        <v>3133</v>
      </c>
      <c r="J542" s="549" t="str">
        <f aca="false">"[pt]"&amp;E542</f>
        <v>[pt]Usbekistan</v>
      </c>
      <c r="K542" s="549" t="str">
        <f aca="false">"[gr]"&amp;E542</f>
        <v>[gr]Usbekistan</v>
      </c>
      <c r="L542" s="619" t="s">
        <v>674</v>
      </c>
      <c r="M542" s="550" t="str">
        <f aca="false">IF(L542=A542,"","nix")</f>
        <v/>
      </c>
    </row>
    <row r="543" customFormat="false" ht="15.75" hidden="false" customHeight="true" outlineLevel="0" collapsed="false">
      <c r="A543" s="617" t="s">
        <v>676</v>
      </c>
      <c r="B543" s="569" t="s">
        <v>3134</v>
      </c>
      <c r="C543" s="617" t="s">
        <v>3135</v>
      </c>
      <c r="D543" s="552" t="str">
        <f aca="false">A543&amp;" "&amp;HLOOKUP($C$1,$E$1:$X$4910,ROW(D543))</f>
        <v>VCT Saint Vincent and the Grenadines</v>
      </c>
      <c r="E543" s="548" t="s">
        <v>3136</v>
      </c>
      <c r="F543" s="549" t="s">
        <v>3137</v>
      </c>
      <c r="G543" s="548" t="s">
        <v>3138</v>
      </c>
      <c r="H543" s="548" t="s">
        <v>3139</v>
      </c>
      <c r="I543" s="548" t="s">
        <v>3140</v>
      </c>
      <c r="J543" s="549" t="str">
        <f aca="false">"[pt]"&amp;E543</f>
        <v>[pt]St. Vincent und die Grenadinen</v>
      </c>
      <c r="K543" s="549" t="str">
        <f aca="false">"[gr]"&amp;E543</f>
        <v>[gr]St. Vincent und die Grenadinen</v>
      </c>
      <c r="L543" s="619" t="s">
        <v>676</v>
      </c>
      <c r="M543" s="550" t="str">
        <f aca="false">IF(L543=A543,"","nix")</f>
        <v/>
      </c>
    </row>
    <row r="544" customFormat="false" ht="15.75" hidden="false" customHeight="true" outlineLevel="0" collapsed="false">
      <c r="A544" s="617" t="s">
        <v>678</v>
      </c>
      <c r="B544" s="569" t="s">
        <v>3141</v>
      </c>
      <c r="C544" s="617" t="s">
        <v>3142</v>
      </c>
      <c r="D544" s="552" t="str">
        <f aca="false">A544&amp;" "&amp;HLOOKUP($C$1,$E$1:$X$4910,ROW(D544))</f>
        <v>VEN Venezuela, Bolivarian Republic of</v>
      </c>
      <c r="E544" s="548" t="s">
        <v>3143</v>
      </c>
      <c r="F544" s="549" t="s">
        <v>3144</v>
      </c>
      <c r="G544" s="548" t="s">
        <v>3145</v>
      </c>
      <c r="H544" s="548" t="s">
        <v>3143</v>
      </c>
      <c r="I544" s="548" t="s">
        <v>3146</v>
      </c>
      <c r="J544" s="549" t="str">
        <f aca="false">"[pt]"&amp;E544</f>
        <v>[pt]Venezuela</v>
      </c>
      <c r="K544" s="549" t="str">
        <f aca="false">"[gr]"&amp;E544</f>
        <v>[gr]Venezuela</v>
      </c>
      <c r="L544" s="619" t="s">
        <v>678</v>
      </c>
      <c r="M544" s="550" t="str">
        <f aca="false">IF(L544=A544,"","nix")</f>
        <v/>
      </c>
    </row>
    <row r="545" customFormat="false" ht="15.75" hidden="false" customHeight="true" outlineLevel="0" collapsed="false">
      <c r="A545" s="617" t="s">
        <v>680</v>
      </c>
      <c r="B545" s="569" t="s">
        <v>3147</v>
      </c>
      <c r="C545" s="617" t="s">
        <v>3148</v>
      </c>
      <c r="D545" s="552" t="str">
        <f aca="false">A545&amp;" "&amp;HLOOKUP($C$1,$E$1:$X$4910,ROW(D545))</f>
        <v>VGB Virgin Islands, British</v>
      </c>
      <c r="E545" s="548" t="s">
        <v>3149</v>
      </c>
      <c r="F545" s="549" t="s">
        <v>3150</v>
      </c>
      <c r="G545" s="548" t="s">
        <v>3151</v>
      </c>
      <c r="H545" s="548" t="s">
        <v>3152</v>
      </c>
      <c r="I545" s="548" t="s">
        <v>3153</v>
      </c>
      <c r="J545" s="549" t="str">
        <f aca="false">"[pt]"&amp;E545</f>
        <v>[pt]Britische Jungferninseln</v>
      </c>
      <c r="K545" s="549" t="str">
        <f aca="false">"[gr]"&amp;E545</f>
        <v>[gr]Britische Jungferninseln</v>
      </c>
      <c r="L545" s="619" t="s">
        <v>680</v>
      </c>
      <c r="M545" s="550" t="str">
        <f aca="false">IF(L545=A545,"","nix")</f>
        <v/>
      </c>
    </row>
    <row r="546" customFormat="false" ht="15.75" hidden="false" customHeight="true" outlineLevel="0" collapsed="false">
      <c r="A546" s="617" t="s">
        <v>682</v>
      </c>
      <c r="B546" s="569" t="s">
        <v>3154</v>
      </c>
      <c r="C546" s="617" t="s">
        <v>3155</v>
      </c>
      <c r="D546" s="552" t="str">
        <f aca="false">A546&amp;" "&amp;HLOOKUP($C$1,$E$1:$X$4910,ROW(D546))</f>
        <v>VIR Virgin Islands, U.S.</v>
      </c>
      <c r="E546" s="548" t="s">
        <v>3156</v>
      </c>
      <c r="F546" s="549" t="s">
        <v>3157</v>
      </c>
      <c r="G546" s="548" t="s">
        <v>3158</v>
      </c>
      <c r="H546" s="548" t="s">
        <v>3159</v>
      </c>
      <c r="I546" s="548" t="s">
        <v>3160</v>
      </c>
      <c r="J546" s="549" t="str">
        <f aca="false">"[pt]"&amp;E546</f>
        <v>[pt]Amerikanische Jungferninseln</v>
      </c>
      <c r="K546" s="549" t="str">
        <f aca="false">"[gr]"&amp;E546</f>
        <v>[gr]Amerikanische Jungferninseln</v>
      </c>
      <c r="L546" s="619" t="s">
        <v>682</v>
      </c>
      <c r="M546" s="550" t="str">
        <f aca="false">IF(L546=A546,"","nix")</f>
        <v/>
      </c>
    </row>
    <row r="547" customFormat="false" ht="15.75" hidden="false" customHeight="true" outlineLevel="0" collapsed="false">
      <c r="A547" s="617" t="s">
        <v>684</v>
      </c>
      <c r="B547" s="569" t="s">
        <v>3161</v>
      </c>
      <c r="C547" s="617" t="s">
        <v>3162</v>
      </c>
      <c r="D547" s="552" t="str">
        <f aca="false">A547&amp;" "&amp;HLOOKUP($C$1,$E$1:$X$4910,ROW(D547))</f>
        <v>VNM Viet Nam</v>
      </c>
      <c r="E547" s="548" t="s">
        <v>683</v>
      </c>
      <c r="F547" s="549" t="s">
        <v>3163</v>
      </c>
      <c r="G547" s="548" t="s">
        <v>3164</v>
      </c>
      <c r="H547" s="548" t="s">
        <v>683</v>
      </c>
      <c r="I547" s="548" t="s">
        <v>683</v>
      </c>
      <c r="J547" s="549" t="str">
        <f aca="false">"[pt]"&amp;E547</f>
        <v>[pt]Vietnam</v>
      </c>
      <c r="K547" s="549" t="str">
        <f aca="false">"[gr]"&amp;E547</f>
        <v>[gr]Vietnam</v>
      </c>
      <c r="L547" s="619" t="s">
        <v>684</v>
      </c>
      <c r="M547" s="550" t="str">
        <f aca="false">IF(L547=A547,"","nix")</f>
        <v/>
      </c>
    </row>
    <row r="548" customFormat="false" ht="15.75" hidden="false" customHeight="true" outlineLevel="0" collapsed="false">
      <c r="A548" s="617" t="s">
        <v>686</v>
      </c>
      <c r="B548" s="569" t="s">
        <v>3165</v>
      </c>
      <c r="C548" s="617" t="s">
        <v>3166</v>
      </c>
      <c r="D548" s="552" t="str">
        <f aca="false">A548&amp;" "&amp;HLOOKUP($C$1,$E$1:$X$4910,ROW(D548))</f>
        <v>VUT Vanuatu</v>
      </c>
      <c r="E548" s="548" t="s">
        <v>685</v>
      </c>
      <c r="F548" s="549" t="s">
        <v>3167</v>
      </c>
      <c r="G548" s="548" t="s">
        <v>3167</v>
      </c>
      <c r="H548" s="548" t="s">
        <v>685</v>
      </c>
      <c r="I548" s="548" t="s">
        <v>685</v>
      </c>
      <c r="J548" s="549" t="str">
        <f aca="false">"[pt]"&amp;E548</f>
        <v>[pt]Vanuatu</v>
      </c>
      <c r="K548" s="549" t="str">
        <f aca="false">"[gr]"&amp;E548</f>
        <v>[gr]Vanuatu</v>
      </c>
      <c r="L548" s="619" t="s">
        <v>686</v>
      </c>
      <c r="M548" s="550" t="str">
        <f aca="false">IF(L548=A548,"","nix")</f>
        <v/>
      </c>
    </row>
    <row r="549" customFormat="false" ht="15.75" hidden="false" customHeight="true" outlineLevel="0" collapsed="false">
      <c r="A549" s="617" t="s">
        <v>688</v>
      </c>
      <c r="B549" s="569" t="s">
        <v>3168</v>
      </c>
      <c r="C549" s="617" t="s">
        <v>3169</v>
      </c>
      <c r="D549" s="552" t="str">
        <f aca="false">A549&amp;" "&amp;HLOOKUP($C$1,$E$1:$X$4910,ROW(D549))</f>
        <v>WSM Samoa</v>
      </c>
      <c r="E549" s="548" t="s">
        <v>687</v>
      </c>
      <c r="F549" s="549" t="s">
        <v>3170</v>
      </c>
      <c r="G549" s="548" t="s">
        <v>3170</v>
      </c>
      <c r="H549" s="548" t="s">
        <v>687</v>
      </c>
      <c r="I549" s="548" t="s">
        <v>687</v>
      </c>
      <c r="J549" s="549" t="str">
        <f aca="false">"[pt]"&amp;E549</f>
        <v>[pt]Samoa</v>
      </c>
      <c r="K549" s="549" t="str">
        <f aca="false">"[gr]"&amp;E549</f>
        <v>[gr]Samoa</v>
      </c>
      <c r="L549" s="619" t="s">
        <v>688</v>
      </c>
      <c r="M549" s="550" t="str">
        <f aca="false">IF(L549=A549,"","nix")</f>
        <v/>
      </c>
    </row>
    <row r="550" customFormat="false" ht="15.75" hidden="false" customHeight="true" outlineLevel="0" collapsed="false">
      <c r="A550" s="569" t="s">
        <v>690</v>
      </c>
      <c r="B550" s="569"/>
      <c r="C550" s="569" t="s">
        <v>3171</v>
      </c>
      <c r="D550" s="552" t="str">
        <f aca="false">A550&amp;" "&amp;HLOOKUP($C$1,$E$1:$X$4910,ROW(D550))</f>
        <v>XKX Kosovo</v>
      </c>
      <c r="E550" s="548" t="s">
        <v>689</v>
      </c>
      <c r="F550" s="549" t="s">
        <v>689</v>
      </c>
      <c r="G550" s="548" t="s">
        <v>689</v>
      </c>
      <c r="H550" s="548" t="s">
        <v>689</v>
      </c>
      <c r="I550" s="548" t="s">
        <v>689</v>
      </c>
      <c r="J550" s="549" t="str">
        <f aca="false">"[pt]"&amp;E550</f>
        <v>[pt]Kosovo</v>
      </c>
      <c r="K550" s="549" t="str">
        <f aca="false">"[gr]"&amp;E550</f>
        <v>[gr]Kosovo</v>
      </c>
      <c r="L550" s="619" t="s">
        <v>690</v>
      </c>
      <c r="M550" s="550" t="str">
        <f aca="false">IF(L550=A550,"","nix")</f>
        <v/>
      </c>
    </row>
    <row r="551" customFormat="false" ht="15.75" hidden="false" customHeight="true" outlineLevel="0" collapsed="false">
      <c r="A551" s="617" t="s">
        <v>692</v>
      </c>
      <c r="B551" s="569" t="s">
        <v>3172</v>
      </c>
      <c r="C551" s="617" t="s">
        <v>3173</v>
      </c>
      <c r="D551" s="552" t="str">
        <f aca="false">A551&amp;" "&amp;HLOOKUP($C$1,$E$1:$X$4910,ROW(D551))</f>
        <v>YEM Yemen</v>
      </c>
      <c r="E551" s="548" t="s">
        <v>3174</v>
      </c>
      <c r="F551" s="549" t="s">
        <v>3175</v>
      </c>
      <c r="G551" s="548" t="s">
        <v>3175</v>
      </c>
      <c r="H551" s="548" t="s">
        <v>3176</v>
      </c>
      <c r="I551" s="548" t="s">
        <v>3176</v>
      </c>
      <c r="J551" s="549" t="str">
        <f aca="false">"[pt]"&amp;E551</f>
        <v>[pt]Jemen</v>
      </c>
      <c r="K551" s="549" t="str">
        <f aca="false">"[gr]"&amp;E551</f>
        <v>[gr]Jemen</v>
      </c>
      <c r="L551" s="619" t="s">
        <v>692</v>
      </c>
      <c r="M551" s="550" t="str">
        <f aca="false">IF(L551=A551,"","nix")</f>
        <v/>
      </c>
    </row>
    <row r="552" customFormat="false" ht="15.75" hidden="false" customHeight="true" outlineLevel="0" collapsed="false">
      <c r="A552" s="617" t="s">
        <v>694</v>
      </c>
      <c r="B552" s="569" t="s">
        <v>3177</v>
      </c>
      <c r="C552" s="617" t="s">
        <v>3178</v>
      </c>
      <c r="D552" s="552" t="str">
        <f aca="false">A552&amp;" "&amp;HLOOKUP($C$1,$E$1:$X$4910,ROW(D552))</f>
        <v>ZAF South Africa</v>
      </c>
      <c r="E552" s="548" t="s">
        <v>3179</v>
      </c>
      <c r="F552" s="549" t="s">
        <v>3180</v>
      </c>
      <c r="G552" s="548" t="s">
        <v>3181</v>
      </c>
      <c r="H552" s="548" t="s">
        <v>3182</v>
      </c>
      <c r="I552" s="548" t="s">
        <v>3183</v>
      </c>
      <c r="J552" s="549" t="str">
        <f aca="false">"[pt]"&amp;E552</f>
        <v>[pt]Südafrika</v>
      </c>
      <c r="K552" s="549" t="str">
        <f aca="false">"[gr]"&amp;E552</f>
        <v>[gr]Südafrika</v>
      </c>
      <c r="L552" s="619" t="s">
        <v>694</v>
      </c>
      <c r="M552" s="550" t="str">
        <f aca="false">IF(L552=A552,"","nix")</f>
        <v/>
      </c>
    </row>
    <row r="553" customFormat="false" ht="15.75" hidden="false" customHeight="true" outlineLevel="0" collapsed="false">
      <c r="A553" s="617" t="s">
        <v>696</v>
      </c>
      <c r="B553" s="569" t="s">
        <v>3184</v>
      </c>
      <c r="C553" s="617" t="s">
        <v>3185</v>
      </c>
      <c r="D553" s="552" t="str">
        <f aca="false">A553&amp;" "&amp;HLOOKUP($C$1,$E$1:$X$4910,ROW(D553))</f>
        <v>ZMB Zambia</v>
      </c>
      <c r="E553" s="548" t="s">
        <v>3186</v>
      </c>
      <c r="F553" s="549" t="s">
        <v>3187</v>
      </c>
      <c r="G553" s="548" t="s">
        <v>3187</v>
      </c>
      <c r="H553" s="548" t="s">
        <v>695</v>
      </c>
      <c r="I553" s="548" t="s">
        <v>3188</v>
      </c>
      <c r="J553" s="549" t="str">
        <f aca="false">"[pt]"&amp;E553</f>
        <v>[pt]Sambia</v>
      </c>
      <c r="K553" s="549" t="str">
        <f aca="false">"[gr]"&amp;E553</f>
        <v>[gr]Sambia</v>
      </c>
      <c r="L553" s="619" t="s">
        <v>696</v>
      </c>
      <c r="M553" s="550" t="str">
        <f aca="false">IF(L553=A553,"","nix")</f>
        <v/>
      </c>
    </row>
    <row r="554" customFormat="false" ht="15.75" hidden="false" customHeight="true" outlineLevel="0" collapsed="false">
      <c r="A554" s="617" t="s">
        <v>698</v>
      </c>
      <c r="B554" s="569" t="s">
        <v>3189</v>
      </c>
      <c r="C554" s="617" t="s">
        <v>3190</v>
      </c>
      <c r="D554" s="552" t="str">
        <f aca="false">A554&amp;" "&amp;HLOOKUP($C$1,$E$1:$X$4910,ROW(D554))</f>
        <v>ZWE Zimbabwe</v>
      </c>
      <c r="E554" s="548" t="s">
        <v>3191</v>
      </c>
      <c r="F554" s="549" t="s">
        <v>3192</v>
      </c>
      <c r="G554" s="548" t="s">
        <v>3192</v>
      </c>
      <c r="H554" s="548" t="s">
        <v>3193</v>
      </c>
      <c r="I554" s="548" t="s">
        <v>697</v>
      </c>
      <c r="J554" s="549" t="str">
        <f aca="false">"[pt]"&amp;E554</f>
        <v>[pt]Simbabwe</v>
      </c>
      <c r="K554" s="549" t="str">
        <f aca="false">"[gr]"&amp;E554</f>
        <v>[gr]Simbabwe</v>
      </c>
      <c r="L554" s="619" t="s">
        <v>698</v>
      </c>
      <c r="M554" s="550" t="str">
        <f aca="false">IF(L554=A554,"","nix")</f>
        <v/>
      </c>
    </row>
    <row r="555" customFormat="false" ht="14.1" hidden="false" customHeight="true" outlineLevel="0" collapsed="false">
      <c r="D555" s="552" t="str">
        <f aca="false">HLOOKUP($C$1,$E$1:$X$4910,ROW(D555))</f>
        <v>Average Africa</v>
      </c>
      <c r="E555" s="548" t="s">
        <v>3194</v>
      </c>
      <c r="F555" s="549" t="s">
        <v>3195</v>
      </c>
      <c r="G555" s="548" t="s">
        <v>699</v>
      </c>
      <c r="H555" s="548" t="s">
        <v>3196</v>
      </c>
      <c r="J555" s="548" t="str">
        <f aca="false">"[pt]"&amp;E555</f>
        <v>[pt]Durchschnitt Afrika</v>
      </c>
      <c r="K555" s="548" t="str">
        <f aca="false">"[gr]"&amp;E555</f>
        <v>[gr]Durchschnitt Afrika</v>
      </c>
      <c r="L555" s="619" t="s">
        <v>699</v>
      </c>
      <c r="M555" s="550" t="str">
        <f aca="false">IF(L555=A555,"","nix")</f>
        <v>nix</v>
      </c>
    </row>
    <row r="556" customFormat="false" ht="14.1" hidden="false" customHeight="true" outlineLevel="0" collapsed="false">
      <c r="D556" s="552" t="str">
        <f aca="false">HLOOKUP($C$1,$E$1:$X$4910,ROW(D556))</f>
        <v>Average Americas</v>
      </c>
      <c r="E556" s="548" t="s">
        <v>3197</v>
      </c>
      <c r="F556" s="549" t="s">
        <v>3198</v>
      </c>
      <c r="G556" s="548" t="s">
        <v>700</v>
      </c>
      <c r="H556" s="548" t="s">
        <v>3199</v>
      </c>
      <c r="J556" s="548" t="str">
        <f aca="false">"[pt]"&amp;E556</f>
        <v>[pt]Durchschnitt Amerika</v>
      </c>
      <c r="K556" s="548" t="str">
        <f aca="false">"[gr]"&amp;E556</f>
        <v>[gr]Durchschnitt Amerika</v>
      </c>
      <c r="L556" s="619" t="s">
        <v>700</v>
      </c>
      <c r="M556" s="550" t="str">
        <f aca="false">IF(L556=A556,"","nix")</f>
        <v>nix</v>
      </c>
    </row>
    <row r="557" customFormat="false" ht="14.1" hidden="false" customHeight="true" outlineLevel="0" collapsed="false">
      <c r="D557" s="552" t="str">
        <f aca="false">HLOOKUP($C$1,$E$1:$X$4910,ROW(D557))</f>
        <v>Average Asia</v>
      </c>
      <c r="E557" s="548" t="s">
        <v>3200</v>
      </c>
      <c r="F557" s="549" t="s">
        <v>3201</v>
      </c>
      <c r="G557" s="548" t="s">
        <v>701</v>
      </c>
      <c r="H557" s="548" t="s">
        <v>3202</v>
      </c>
      <c r="J557" s="548" t="str">
        <f aca="false">"[pt]"&amp;E557</f>
        <v>[pt]Durchschnitt Asien</v>
      </c>
      <c r="K557" s="548" t="str">
        <f aca="false">"[gr]"&amp;E557</f>
        <v>[gr]Durchschnitt Asien</v>
      </c>
      <c r="L557" s="619" t="s">
        <v>701</v>
      </c>
      <c r="M557" s="550" t="str">
        <f aca="false">IF(L557=A557,"","nix")</f>
        <v>nix</v>
      </c>
    </row>
    <row r="558" customFormat="false" ht="14.1" hidden="false" customHeight="true" outlineLevel="0" collapsed="false">
      <c r="D558" s="552" t="str">
        <f aca="false">HLOOKUP($C$1,$E$1:$X$4910,ROW(D558))</f>
        <v>Average Europe</v>
      </c>
      <c r="E558" s="548" t="s">
        <v>3203</v>
      </c>
      <c r="F558" s="549" t="s">
        <v>3204</v>
      </c>
      <c r="G558" s="548" t="s">
        <v>702</v>
      </c>
      <c r="H558" s="548" t="s">
        <v>3205</v>
      </c>
      <c r="J558" s="548" t="str">
        <f aca="false">"[pt]"&amp;E558</f>
        <v>[pt]Durchschnitt Europa</v>
      </c>
      <c r="K558" s="548" t="str">
        <f aca="false">"[gr]"&amp;E558</f>
        <v>[gr]Durchschnitt Europa</v>
      </c>
      <c r="L558" s="619" t="s">
        <v>702</v>
      </c>
      <c r="M558" s="550" t="str">
        <f aca="false">IF(L558=A558,"","nix")</f>
        <v>nix</v>
      </c>
    </row>
    <row r="559" customFormat="false" ht="14.1" hidden="false" customHeight="true" outlineLevel="0" collapsed="false">
      <c r="D559" s="552" t="str">
        <f aca="false">HLOOKUP($C$1,$E$1:$X$4910,ROW(D559))</f>
        <v>Average Oceania</v>
      </c>
      <c r="E559" s="548" t="s">
        <v>3206</v>
      </c>
      <c r="F559" s="549" t="s">
        <v>3207</v>
      </c>
      <c r="G559" s="548" t="s">
        <v>703</v>
      </c>
      <c r="H559" s="548" t="s">
        <v>3208</v>
      </c>
      <c r="J559" s="548" t="str">
        <f aca="false">"[pt]"&amp;E559</f>
        <v>[pt]Durchschnitt Ozeanien</v>
      </c>
      <c r="K559" s="548" t="str">
        <f aca="false">"[gr]"&amp;E559</f>
        <v>[gr]Durchschnitt Ozeanien</v>
      </c>
      <c r="L559" s="619" t="s">
        <v>703</v>
      </c>
      <c r="M559" s="550" t="str">
        <f aca="false">IF(L559=A559,"","nix")</f>
        <v>nix</v>
      </c>
    </row>
    <row r="560" customFormat="false" ht="14.1" hidden="false" customHeight="true" outlineLevel="0" collapsed="false">
      <c r="D560" s="552" t="n">
        <f aca="false">HLOOKUP($C$1,$E$1:$X$4910,ROW(D560))</f>
        <v>0</v>
      </c>
      <c r="E560" s="548" t="s">
        <v>3209</v>
      </c>
      <c r="F560" s="549" t="s">
        <v>3210</v>
      </c>
      <c r="H560" s="548" t="s">
        <v>3211</v>
      </c>
      <c r="J560" s="548" t="str">
        <f aca="false">"[pt]"&amp;E560</f>
        <v>[pt]Durchschnitt Welt</v>
      </c>
      <c r="K560" s="548" t="str">
        <f aca="false">"[gr]"&amp;E560</f>
        <v>[gr]Durchschnitt Welt</v>
      </c>
      <c r="L560" s="621" t="s">
        <v>704</v>
      </c>
      <c r="M560" s="550" t="str">
        <f aca="false">IF(L560=A560,"","nix")</f>
        <v>nix</v>
      </c>
    </row>
    <row r="561" customFormat="false" ht="14.1" hidden="false" customHeight="true" outlineLevel="0" collapsed="false">
      <c r="D561" s="552" t="n">
        <f aca="false">HLOOKUP($C$1,$E$1:$X$4910,ROW(D561))</f>
        <v>0</v>
      </c>
      <c r="E561" s="548" t="s">
        <v>1891</v>
      </c>
      <c r="F561" s="549" t="s">
        <v>3212</v>
      </c>
      <c r="H561" s="548" t="s">
        <v>3213</v>
      </c>
      <c r="M561" s="550"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D32" activeCellId="0" sqref="D32"/>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31"/>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
        <v>16</v>
      </c>
      <c r="C10" s="57" t="str">
        <f aca="false">'12.lan'!$D$202</f>
        <v>Please enter</v>
      </c>
      <c r="D10" s="57" t="s">
        <v>17</v>
      </c>
      <c r="E10" s="57"/>
      <c r="F10" s="57" t="n">
        <v>500</v>
      </c>
    </row>
    <row r="11" customFormat="false" ht="19.5" hidden="false" customHeight="true" outlineLevel="0" collapsed="false">
      <c r="A11" s="2"/>
      <c r="B11" s="61" t="s">
        <v>18</v>
      </c>
      <c r="C11" s="57" t="str">
        <f aca="false">'12.lan'!$D$202</f>
        <v>Please enter</v>
      </c>
      <c r="D11" s="57" t="s">
        <v>19</v>
      </c>
      <c r="E11" s="57"/>
      <c r="F11" s="57" t="n">
        <v>1234</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4322</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3944</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12</v>
      </c>
    </row>
    <row r="20" customFormat="false" ht="19.5" hidden="false" customHeight="true" outlineLevel="0" collapsed="false">
      <c r="A20" s="2"/>
      <c r="B20" s="56" t="str">
        <f aca="false">'12.lan'!D306</f>
        <v>Income from financial investments</v>
      </c>
      <c r="C20" s="57" t="n">
        <v>23</v>
      </c>
    </row>
    <row r="21" customFormat="false" ht="19.5" hidden="false" customHeight="true" outlineLevel="0" collapsed="false">
      <c r="A21" s="2"/>
      <c r="B21" s="56" t="str">
        <f aca="false">'12.lan'!D307</f>
        <v>Total assets</v>
      </c>
      <c r="C21" s="57" t="n">
        <v>44</v>
      </c>
    </row>
    <row r="22" customFormat="false" ht="19.5" hidden="false" customHeight="true" outlineLevel="0" collapsed="false">
      <c r="A22" s="2"/>
      <c r="B22" s="56" t="str">
        <f aca="false">'12.lan'!D308</f>
        <v>Additions to fixed-assets</v>
      </c>
      <c r="C22" s="57" t="n">
        <v>55</v>
      </c>
    </row>
    <row r="23" customFormat="false" ht="19.5" hidden="false" customHeight="true" outlineLevel="0" collapsed="false">
      <c r="A23" s="2"/>
      <c r="B23" s="56" t="str">
        <f aca="false">'12.lan'!D309</f>
        <v>Financial assets and cash balance</v>
      </c>
      <c r="C23" s="57" t="n">
        <v>66</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1234</v>
      </c>
    </row>
    <row r="27" customFormat="false" ht="19.5" hidden="false" customHeight="true" outlineLevel="0" collapsed="false">
      <c r="A27" s="2"/>
      <c r="B27" s="56" t="str">
        <f aca="false">'12.lan'!D311</f>
        <v>Staff costs (gross without employer contribution)</v>
      </c>
      <c r="C27" s="57" t="n">
        <v>33333</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
        <v>17</v>
      </c>
      <c r="C30" s="57"/>
      <c r="D30" s="67" t="n">
        <v>0.01</v>
      </c>
      <c r="E30" s="59" t="str">
        <f aca="false">IF(SUM(D30:D32)&gt;"100%","fehlerhafte Eingabe","")</f>
        <v/>
      </c>
      <c r="F30" s="59"/>
    </row>
    <row r="31" customFormat="false" ht="19.5" hidden="false" customHeight="true" outlineLevel="0" collapsed="false">
      <c r="A31" s="2"/>
      <c r="B31" s="57" t="str">
        <f aca="false">'12.lan'!$D$203</f>
        <v>Please choose</v>
      </c>
      <c r="C31" s="57"/>
      <c r="D31" s="67" t="n">
        <v>0</v>
      </c>
    </row>
    <row r="32" customFormat="false" ht="19.5" hidden="false" customHeight="true" outlineLevel="0" collapsed="false">
      <c r="A32" s="2"/>
      <c r="B32" s="57" t="s">
        <v>20</v>
      </c>
      <c r="C32" s="57"/>
      <c r="D32" s="67" t="n">
        <v>0.03</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21</v>
      </c>
      <c r="E34" s="68"/>
      <c r="F34" s="68" t="s">
        <v>22</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
        <v>23</v>
      </c>
      <c r="C41" s="57"/>
      <c r="D41" s="67" t="n">
        <v>0.02</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Large 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0" ySplit="8" topLeftCell="A70" activePane="bottomLeft" state="frozen"/>
      <selection pane="topLeft" activeCell="A1" activeCellId="0" sqref="A1"/>
      <selection pane="bottomLeft" activeCell="H97" activeCellId="0" sqref="H97"/>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0.223333333333333</v>
      </c>
      <c r="I4" s="90" t="n">
        <f aca="false">IF(SUM(I9+I23+I38+I59+I76)*1000/SUM(J9+J23+J38+J59+J76)&lt;-3600,-3600,SUM(I9+I23+I38+I59+I76)*1000/SUM(J9+J23+J38+J59+J76))</f>
        <v>223.333333333333</v>
      </c>
      <c r="J4" s="91" t="n">
        <f aca="false">SUM(J9+J23+J38+J59+J76)*1000/SUM(J9+J23+J38+J59+J76)</f>
        <v>1000</v>
      </c>
      <c r="L4" s="92" t="s">
        <v>24</v>
      </c>
      <c r="M4" s="92"/>
      <c r="O4" s="27" t="s">
        <v>25</v>
      </c>
    </row>
    <row r="5" customFormat="false" ht="12.75" hidden="false" customHeight="true" outlineLevel="0" collapsed="false">
      <c r="A5" s="29"/>
      <c r="B5" s="93" t="str">
        <f aca="false">'12.lan'!D82&amp;": "&amp;'1. General'!C6&amp;"; "&amp;'12.lan'!D83&amp;": "&amp;'1. General'!C12</f>
        <v>Company / Organisation: company; Period under review:</v>
      </c>
      <c r="C5" s="93"/>
      <c r="D5" s="93"/>
      <c r="E5" s="94"/>
      <c r="F5" s="87"/>
      <c r="G5" s="95"/>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6"/>
      <c r="C7" s="96"/>
      <c r="D7" s="96"/>
      <c r="E7" s="96"/>
      <c r="F7" s="96"/>
      <c r="G7" s="96"/>
      <c r="H7" s="96"/>
      <c r="I7" s="96"/>
      <c r="J7" s="96"/>
    </row>
    <row r="8" customFormat="false" ht="30" hidden="false" customHeight="true" outlineLevel="0" collapsed="false">
      <c r="A8" s="29"/>
      <c r="B8" s="97" t="str">
        <f aca="false">'12.lan'!D93</f>
        <v>No.</v>
      </c>
      <c r="C8" s="97" t="str">
        <f aca="false">'12.lan'!D107</f>
        <v>Stakeholders/ Themes/ Aspects</v>
      </c>
      <c r="D8" s="98" t="str">
        <f aca="false">'12.lan'!D96</f>
        <v>Weight</v>
      </c>
      <c r="E8" s="98"/>
      <c r="F8" s="99" t="str">
        <f aca="false">'12.lan'!D102</f>
        <v>Current status</v>
      </c>
      <c r="G8" s="99"/>
      <c r="H8" s="100" t="str">
        <f aca="false">'12.lan'!D104</f>
        <v>Est%</v>
      </c>
      <c r="I8" s="101" t="str">
        <f aca="false">'12.lan'!D105</f>
        <v>Points</v>
      </c>
      <c r="J8" s="101" t="str">
        <f aca="false">'12.lan'!D106</f>
        <v>Max.</v>
      </c>
      <c r="L8" s="102" t="s">
        <v>26</v>
      </c>
      <c r="M8" s="102"/>
      <c r="O8" s="103" t="s">
        <v>27</v>
      </c>
    </row>
    <row r="9" customFormat="false" ht="36" hidden="false" customHeight="true" outlineLevel="0" collapsed="false">
      <c r="A9" s="29"/>
      <c r="B9" s="104" t="s">
        <v>28</v>
      </c>
      <c r="C9" s="105" t="str">
        <f aca="false">'12.lan'!D108</f>
        <v>Suppliers</v>
      </c>
      <c r="D9" s="106" t="n">
        <f aca="false">L9</f>
        <v>1</v>
      </c>
      <c r="E9" s="107" t="str">
        <f aca="false">VLOOKUP(D9,$C$102:$D$106,2,FALSE())</f>
        <v>medium</v>
      </c>
      <c r="F9" s="105"/>
      <c r="G9" s="105"/>
      <c r="H9" s="108" t="n">
        <f aca="false">IFERROR(I9/J9,0)</f>
        <v>0.225</v>
      </c>
      <c r="I9" s="109" t="n">
        <f aca="false">I10+I13+I17+I20</f>
        <v>40</v>
      </c>
      <c r="J9" s="109" t="n">
        <f aca="false">J10+J13+J17+J20</f>
        <v>177.777777777778</v>
      </c>
      <c r="L9" s="27" t="n">
        <f aca="false">'9. Weighting'!K49</f>
        <v>1</v>
      </c>
      <c r="N9" s="110" t="str">
        <f aca="false">IF(D9&lt;&gt;L9,'12.lan'!$D$240&amp;VLOOKUP(L9,$C$102:$D$106,2,FALSE())&amp;" ("&amp;L9&amp;")","")</f>
        <v/>
      </c>
    </row>
    <row r="10" customFormat="false" ht="33" hidden="false" customHeight="true" outlineLevel="0" collapsed="false">
      <c r="A10" s="29"/>
      <c r="B10" s="111" t="s">
        <v>29</v>
      </c>
      <c r="C10" s="112" t="str">
        <f aca="false">'12.lan'!D109</f>
        <v>Human dignity in the supply chain</v>
      </c>
      <c r="D10" s="113" t="n">
        <f aca="false">IF(K10="trifft nicht zu",C106,'9. Weighting'!M16)</f>
        <v>1</v>
      </c>
      <c r="E10" s="114" t="str">
        <f aca="false">VLOOKUP(D10,$C$102:$D$106,2,FALSE())</f>
        <v>medium</v>
      </c>
      <c r="F10" s="115" t="n">
        <f aca="false">'9. Weighting'!M16</f>
        <v>1</v>
      </c>
      <c r="G10" s="112"/>
      <c r="H10" s="116" t="n">
        <f aca="false">IF(J10&lt;&gt;0,ROUND(SUM(I11:I12)/J10,1),"-")</f>
        <v>0.1</v>
      </c>
      <c r="I10" s="117" t="n">
        <f aca="false">IF(J10=0,0,H10*J10)</f>
        <v>4.44444444444444</v>
      </c>
      <c r="J10" s="117" t="n">
        <f aca="false">'9. Weighting'!M15</f>
        <v>44.4444444444444</v>
      </c>
      <c r="L10" s="27" t="n">
        <f aca="false">VLOOKUP(O10,$C$102:$E$106,3,FALSE())</f>
        <v>1</v>
      </c>
      <c r="M10" s="27" t="n">
        <f aca="false">VLOOKUP(D10,$C$102:$E$106,3,FALSE())</f>
        <v>1</v>
      </c>
      <c r="N10" s="58" t="str">
        <f aca="false">IF(L10=M10,"",'12.lan'!$D$240&amp;VLOOKUP(L10,$C$102:$D$106,2,FALSE())&amp;" ("&amp;L10&amp;")")</f>
        <v/>
      </c>
      <c r="O10" s="27" t="n">
        <f aca="false">IF(K10="trifft nicht zu",C106,'9. Weighting'!M16)</f>
        <v>1</v>
      </c>
    </row>
    <row r="11" customFormat="false" ht="33.75" hidden="false" customHeight="true" outlineLevel="0" collapsed="false">
      <c r="A11" s="29"/>
      <c r="B11" s="118" t="s">
        <v>30</v>
      </c>
      <c r="C11" s="118" t="str">
        <f aca="false">'12.lan'!D110</f>
        <v>Working conditions and social impact in the supply chain</v>
      </c>
      <c r="D11" s="119"/>
      <c r="E11" s="120"/>
      <c r="F11" s="121" t="str">
        <f aca="false">'12.lan'!$D$329</f>
        <v>Introduce value between 0 and 10</v>
      </c>
      <c r="G11" s="122"/>
      <c r="H11" s="123" t="n">
        <v>1</v>
      </c>
      <c r="I11" s="124" t="n">
        <f aca="false">J11*H11/10</f>
        <v>4.44444444444444</v>
      </c>
      <c r="J11" s="124" t="n">
        <f aca="false">J10*K11/K11</f>
        <v>44.4444444444444</v>
      </c>
      <c r="K11" s="27" t="n">
        <v>1</v>
      </c>
      <c r="N11" s="58" t="str">
        <f aca="false">IF(L11=M11,"",'12.lan'!$D$240&amp;" "&amp;VLOOKUP(L11,$C$102:$D$106,2,FALSE())&amp;" ("&amp;L11&amp;")")</f>
        <v/>
      </c>
    </row>
    <row r="12" customFormat="false" ht="30" hidden="false" customHeight="true" outlineLevel="0" collapsed="false">
      <c r="A12" s="29"/>
      <c r="B12" s="118" t="s">
        <v>31</v>
      </c>
      <c r="C12" s="118" t="str">
        <f aca="false">'12.lan'!D111</f>
        <v>Negative aspect: violation of human dignity in the supply chain</v>
      </c>
      <c r="D12" s="119"/>
      <c r="E12" s="120"/>
      <c r="F12" s="121" t="str">
        <f aca="false">'12.lan'!$D$330</f>
        <v>Introduce negative points between 0 and -200</v>
      </c>
      <c r="G12" s="122"/>
      <c r="H12" s="123" t="n">
        <v>0</v>
      </c>
      <c r="I12" s="124" t="n">
        <f aca="false">H12*J10/50</f>
        <v>0</v>
      </c>
      <c r="J12" s="124" t="n">
        <f aca="false">-200*J10/50</f>
        <v>-177.777777777778</v>
      </c>
    </row>
    <row r="13" customFormat="false" ht="33" hidden="false" customHeight="true" outlineLevel="0" collapsed="false">
      <c r="A13" s="29"/>
      <c r="B13" s="111" t="s">
        <v>32</v>
      </c>
      <c r="C13" s="112" t="str">
        <f aca="false">'12.lan'!D112</f>
        <v>Solidarity and social justice in the supply chain</v>
      </c>
      <c r="D13" s="113" t="n">
        <f aca="false">IF(K13="trifft nicht zu",C106,'9. Weighting'!N16)</f>
        <v>1</v>
      </c>
      <c r="E13" s="114" t="str">
        <f aca="false">VLOOKUP(D13,$C$102:$D$106,2,FALSE())</f>
        <v>medium</v>
      </c>
      <c r="F13" s="125" t="n">
        <f aca="false">IF(K13="trifft nicht zu","trifft nicht zu",'9. Weighting'!N16)</f>
        <v>1</v>
      </c>
      <c r="G13" s="126"/>
      <c r="H13" s="116" t="n">
        <f aca="false">IF(J13&lt;&gt;0,ROUND(SUM(I14:I16)/J13,1),"-")</f>
        <v>0.1</v>
      </c>
      <c r="I13" s="117" t="n">
        <f aca="false">IF(J13=0,0,H13*J13)</f>
        <v>4.44444444444444</v>
      </c>
      <c r="J13" s="117" t="n">
        <f aca="false">'9. Weighting'!N15</f>
        <v>44.4444444444444</v>
      </c>
      <c r="K13" s="27" t="str">
        <f aca="false">IF(AND(D14="trifft nicht zu",D15="trifft nicht zu"),"trifft nicht zu","")</f>
        <v/>
      </c>
      <c r="L13" s="27" t="n">
        <f aca="false">VLOOKUP(O13,$C$102:$E$106,3,FALSE())</f>
        <v>1</v>
      </c>
      <c r="M13" s="27" t="n">
        <f aca="false">VLOOKUP(D13,$C$102:$E$106,3,FALSE())</f>
        <v>1</v>
      </c>
      <c r="N13" s="58" t="str">
        <f aca="false">IF(L13=M13,"",'12.lan'!$D$240&amp;VLOOKUP(L13,$C$102:$D$106,2,FALSE())&amp;" ("&amp;L13&amp;")")</f>
        <v/>
      </c>
      <c r="O13" s="27" t="n">
        <f aca="false">IF(K13="trifft nicht zu",C106,'9. Weighting'!N16)</f>
        <v>1</v>
      </c>
    </row>
    <row r="14" customFormat="false" ht="30" hidden="false" customHeight="true" outlineLevel="0" collapsed="false">
      <c r="A14" s="29"/>
      <c r="B14" s="118" t="s">
        <v>33</v>
      </c>
      <c r="C14" s="118" t="str">
        <f aca="false">'12.lan'!D113</f>
        <v>Fair business practices towards direct suppliers</v>
      </c>
      <c r="D14" s="119" t="n">
        <v>1</v>
      </c>
      <c r="E14" s="127" t="str">
        <f aca="false">VLOOKUP(D14,$C$102:$D$106,2,FALSE())</f>
        <v>medium</v>
      </c>
      <c r="F14" s="121" t="str">
        <f aca="false">'12.lan'!$D$329</f>
        <v>Introduce value between 0 and 10</v>
      </c>
      <c r="G14" s="122"/>
      <c r="H14" s="123" t="n">
        <v>2</v>
      </c>
      <c r="I14" s="124" t="n">
        <f aca="false">IFERROR(J14*H14/10,0)</f>
        <v>4.44444444444444</v>
      </c>
      <c r="J14" s="124" t="n">
        <f aca="false">IFERROR(J13*K14/(K15+K14),0)</f>
        <v>22.2222222222222</v>
      </c>
      <c r="K14" s="27" t="n">
        <f aca="false">VLOOKUP(D14,$C$102:$E$106,3,FALSE())</f>
        <v>1</v>
      </c>
      <c r="L14" s="27" t="n">
        <f aca="false">VLOOKUP(O14,$C$102:$E$106,3,FALSE())</f>
        <v>1</v>
      </c>
      <c r="M14" s="27" t="n">
        <f aca="false">VLOOKUP(D14,$C$102:$E$106,3,FALSE())</f>
        <v>1</v>
      </c>
      <c r="N14" s="58" t="str">
        <f aca="false">IF(L14=M14,"",'12.lan'!$D$240&amp;VLOOKUP(L14,$C$102:$D$106,2,FALSE())&amp;" ("&amp;L14&amp;")")</f>
        <v/>
      </c>
      <c r="O14" s="27" t="n">
        <f aca="false">C104</f>
        <v>1</v>
      </c>
    </row>
    <row r="15" customFormat="false" ht="34.5" hidden="false" customHeight="true" outlineLevel="0" collapsed="false">
      <c r="A15" s="29"/>
      <c r="B15" s="118" t="s">
        <v>34</v>
      </c>
      <c r="C15" s="118" t="str">
        <f aca="false">'12.lan'!D114</f>
        <v>Exercising a positive influence on solidarity and social justice in the supply chain</v>
      </c>
      <c r="D15" s="119" t="n">
        <f aca="false">C104</f>
        <v>1</v>
      </c>
      <c r="E15" s="120" t="str">
        <f aca="false">VLOOKUP(D15,$C$102:$D$106,2,FALSE())</f>
        <v>medium</v>
      </c>
      <c r="F15" s="121" t="str">
        <f aca="false">'12.lan'!$D$329</f>
        <v>Introduce value between 0 and 10</v>
      </c>
      <c r="G15" s="122"/>
      <c r="H15" s="123" t="n">
        <v>3</v>
      </c>
      <c r="I15" s="124" t="n">
        <f aca="false">IFERROR(J15*H15/10,0)</f>
        <v>6.66666666666667</v>
      </c>
      <c r="J15" s="124" t="n">
        <f aca="false">IFERROR(J13*K15/(K14+K15),0)</f>
        <v>22.2222222222222</v>
      </c>
      <c r="K15" s="27" t="n">
        <f aca="false">VLOOKUP(D15,$C$102:$E$106,3,FALSE())</f>
        <v>1</v>
      </c>
      <c r="L15" s="27" t="n">
        <f aca="false">VLOOKUP(O15,$C$102:$E$106,3,FALSE())</f>
        <v>1</v>
      </c>
      <c r="M15" s="27" t="n">
        <f aca="false">VLOOKUP(D15,$C$102:$E$106,3,FALSE())</f>
        <v>1</v>
      </c>
      <c r="N15" s="58" t="str">
        <f aca="false">IF(L15=M15,"",'12.lan'!$D$240&amp;VLOOKUP(L15,$C$102:$D$106,2,FALSE())&amp;" ("&amp;L15&amp;")")</f>
        <v/>
      </c>
      <c r="O15" s="27" t="n">
        <f aca="false">C104</f>
        <v>1</v>
      </c>
    </row>
    <row r="16" customFormat="false" ht="33" hidden="false" customHeight="true" outlineLevel="0" collapsed="false">
      <c r="A16" s="29"/>
      <c r="B16" s="118" t="s">
        <v>35</v>
      </c>
      <c r="C16" s="118" t="str">
        <f aca="false">'12.lan'!D115</f>
        <v>Negative aspect: abuse of market power against suppliers</v>
      </c>
      <c r="D16" s="119"/>
      <c r="E16" s="120"/>
      <c r="F16" s="121" t="str">
        <f aca="false">'12.lan'!$D$330</f>
        <v>Introduce negative points between 0 and -200</v>
      </c>
      <c r="G16" s="122"/>
      <c r="H16" s="123" t="n">
        <v>-10</v>
      </c>
      <c r="I16" s="124" t="n">
        <f aca="false">H16*J13/50</f>
        <v>-8.88888888888889</v>
      </c>
      <c r="J16" s="124" t="n">
        <f aca="false">-200*J13/50</f>
        <v>-177.777777777778</v>
      </c>
    </row>
    <row r="17" customFormat="false" ht="33" hidden="false" customHeight="true" outlineLevel="0" collapsed="false">
      <c r="A17" s="29"/>
      <c r="B17" s="111" t="s">
        <v>36</v>
      </c>
      <c r="C17" s="112" t="str">
        <f aca="false">'12.lan'!D116</f>
        <v>Environmental sustainability in the supply chain</v>
      </c>
      <c r="D17" s="113" t="n">
        <f aca="false">IF(K17="trifft nicht zu",C106,'9. Weighting'!O16)</f>
        <v>1</v>
      </c>
      <c r="E17" s="114" t="str">
        <f aca="false">VLOOKUP(D17,$C$102:$D$106,2,FALSE())</f>
        <v>medium</v>
      </c>
      <c r="F17" s="125" t="n">
        <f aca="false">IF(K17="trifft nicht zu","trifft nicht zu",'9. Weighting'!O16)</f>
        <v>1</v>
      </c>
      <c r="G17" s="126"/>
      <c r="H17" s="116" t="n">
        <f aca="false">IF(J17&lt;&gt;0,ROUND(SUM(I18:I19)/J17,1),"-")</f>
        <v>0.1</v>
      </c>
      <c r="I17" s="117" t="n">
        <f aca="false">IF(J17=0,0,H17*J17)</f>
        <v>4.44444444444444</v>
      </c>
      <c r="J17" s="117" t="n">
        <f aca="false">'9. Weighting'!O15</f>
        <v>44.4444444444444</v>
      </c>
      <c r="K17" s="27" t="str">
        <f aca="false">IF(D18="trifft nicht zu","trifft nicht zu","")</f>
        <v/>
      </c>
      <c r="L17" s="27" t="n">
        <f aca="false">VLOOKUP(O17,$C$102:$E$106,3,FALSE())</f>
        <v>1</v>
      </c>
      <c r="M17" s="27" t="n">
        <f aca="false">VLOOKUP(D17,$C$102:$E$106,3,FALSE())</f>
        <v>1</v>
      </c>
      <c r="N17" s="58" t="str">
        <f aca="false">IF(L17=M17,"",'12.lan'!$D$240&amp;VLOOKUP(L17,$C$102:$D$106,2,FALSE())&amp;" ("&amp;L17&amp;")")</f>
        <v/>
      </c>
      <c r="O17" s="27" t="n">
        <f aca="false">IF(K17="trifft nicht zu",C106,'9. Weighting'!O16)</f>
        <v>1</v>
      </c>
    </row>
    <row r="18" customFormat="false" ht="30" hidden="false" customHeight="true" outlineLevel="0" collapsed="false">
      <c r="A18" s="29"/>
      <c r="B18" s="118" t="s">
        <v>37</v>
      </c>
      <c r="C18" s="118" t="str">
        <f aca="false">'12.lan'!D117</f>
        <v>Environmental impact throughout the supply chain</v>
      </c>
      <c r="D18" s="119"/>
      <c r="E18" s="120"/>
      <c r="F18" s="121" t="str">
        <f aca="false">'12.lan'!$D$329</f>
        <v>Introduce value between 0 and 10</v>
      </c>
      <c r="G18" s="122"/>
      <c r="H18" s="123" t="n">
        <v>4</v>
      </c>
      <c r="I18" s="124" t="n">
        <f aca="false">J18*H18/10</f>
        <v>17.7777777777778</v>
      </c>
      <c r="J18" s="124" t="n">
        <f aca="false">J17*K18/K18</f>
        <v>44.4444444444444</v>
      </c>
      <c r="K18" s="27" t="n">
        <v>1</v>
      </c>
      <c r="N18" s="58" t="str">
        <f aca="false">IF(L18=M18,"",'12.lan'!$D$240&amp;VLOOKUP(L18,$C$102:$D$106,2,FALSE())&amp;" ("&amp;L18&amp;")")</f>
        <v/>
      </c>
    </row>
    <row r="19" customFormat="false" ht="33" hidden="false" customHeight="true" outlineLevel="0" collapsed="false">
      <c r="A19" s="29"/>
      <c r="B19" s="118" t="s">
        <v>38</v>
      </c>
      <c r="C19" s="118" t="str">
        <f aca="false">'12.lan'!D118</f>
        <v>Negative aspect: disproportionate environmental impact throughout the supply chain</v>
      </c>
      <c r="D19" s="119"/>
      <c r="E19" s="120"/>
      <c r="F19" s="121" t="str">
        <f aca="false">'12.lan'!$D$330</f>
        <v>Introduce negative points between 0 and -200</v>
      </c>
      <c r="G19" s="122"/>
      <c r="H19" s="123" t="n">
        <v>-15</v>
      </c>
      <c r="I19" s="124" t="n">
        <f aca="false">H19*J17/50</f>
        <v>-13.3333333333333</v>
      </c>
      <c r="J19" s="124" t="n">
        <f aca="false">-200*J17/50</f>
        <v>-177.777777777778</v>
      </c>
    </row>
    <row r="20" customFormat="false" ht="33" hidden="false" customHeight="true" outlineLevel="0" collapsed="false">
      <c r="A20" s="29"/>
      <c r="B20" s="111" t="s">
        <v>39</v>
      </c>
      <c r="C20" s="112" t="str">
        <f aca="false">'12.lan'!D119</f>
        <v>Transparency &amp; co-determination in the supply chain</v>
      </c>
      <c r="D20" s="113" t="n">
        <f aca="false">IF(K20="trifft nicht zu",C106,'9. Weighting'!P16)</f>
        <v>1</v>
      </c>
      <c r="E20" s="114" t="str">
        <f aca="false">VLOOKUP(D20,$C$102:$D$106,2,FALSE())</f>
        <v>medium</v>
      </c>
      <c r="F20" s="125" t="n">
        <f aca="false">IF(K20="trifft nicht zu","trifft nicht zu",'9. Weighting'!P16)</f>
        <v>1</v>
      </c>
      <c r="G20" s="126"/>
      <c r="H20" s="116" t="n">
        <f aca="false">IF(J20&lt;&gt;0,ROUND(SUM(I21:I22)/J20,1),"-")</f>
        <v>0.6</v>
      </c>
      <c r="I20" s="117" t="n">
        <f aca="false">IF(J20=0,0,H20*J20)</f>
        <v>26.6666666666667</v>
      </c>
      <c r="J20" s="117" t="n">
        <f aca="false">'9. Weighting'!P15</f>
        <v>44.4444444444444</v>
      </c>
      <c r="K20" s="27" t="str">
        <f aca="false">IF(AND(D21="trifft nicht zu",D22="trifft nicht zu"),"trifft nicht zu","")</f>
        <v/>
      </c>
      <c r="L20" s="27" t="n">
        <f aca="false">VLOOKUP(O20,$C$102:$E$106,3,FALSE())</f>
        <v>1</v>
      </c>
      <c r="M20" s="27" t="n">
        <f aca="false">VLOOKUP(D20,$C$102:$E$106,3,FALSE())</f>
        <v>1</v>
      </c>
      <c r="N20" s="58" t="str">
        <f aca="false">IF(L20=M20,"",'12.lan'!$D$240&amp;VLOOKUP(L20,$C$102:$D$106,2,FALSE())&amp;" ("&amp;L20&amp;")")</f>
        <v/>
      </c>
      <c r="O20" s="27" t="n">
        <f aca="false">IF(K20="trifft nicht zu",C106,'9. Weighting'!P16)</f>
        <v>1</v>
      </c>
    </row>
    <row r="21" customFormat="false" ht="36.75" hidden="false" customHeight="true" outlineLevel="0" collapsed="false">
      <c r="A21" s="29"/>
      <c r="B21" s="118" t="s">
        <v>40</v>
      </c>
      <c r="C21" s="118" t="str">
        <f aca="false">'12.lan'!D120</f>
        <v>Transparency towards suppliers and their right to co-determination</v>
      </c>
      <c r="D21" s="119" t="n">
        <f aca="false">C104</f>
        <v>1</v>
      </c>
      <c r="E21" s="120" t="str">
        <f aca="false">VLOOKUP(D21,$C$102:$D$106,2,FALSE())</f>
        <v>medium</v>
      </c>
      <c r="F21" s="121" t="str">
        <f aca="false">'12.lan'!$D$329</f>
        <v>Introduce value between 0 and 10</v>
      </c>
      <c r="G21" s="122"/>
      <c r="H21" s="123" t="n">
        <v>5</v>
      </c>
      <c r="I21" s="124" t="n">
        <f aca="false">IFERROR(J21*H21/10,0)</f>
        <v>11.1111111111111</v>
      </c>
      <c r="J21" s="124" t="n">
        <f aca="false">IFERROR(J20*K21/(K22+K21),0)</f>
        <v>22.2222222222222</v>
      </c>
      <c r="K21" s="27" t="n">
        <f aca="false">VLOOKUP(D21,$C$102:$E$106,3,FALSE())</f>
        <v>1</v>
      </c>
      <c r="L21" s="27" t="n">
        <f aca="false">VLOOKUP(O21,$C$102:$E$106,3,FALSE())</f>
        <v>1</v>
      </c>
      <c r="M21" s="27" t="n">
        <f aca="false">VLOOKUP(D21,$C$102:$E$106,3,FALSE())</f>
        <v>1</v>
      </c>
      <c r="N21" s="58" t="str">
        <f aca="false">IF(L21=M21,"",'12.lan'!$D$240&amp;VLOOKUP(L21,$C$102:$D$106,2,FALSE())&amp;" ("&amp;L21&amp;")")</f>
        <v/>
      </c>
      <c r="O21" s="27" t="n">
        <f aca="false">C104</f>
        <v>1</v>
      </c>
    </row>
    <row r="22" customFormat="false" ht="40.5" hidden="false" customHeight="true" outlineLevel="0" collapsed="false">
      <c r="A22" s="29"/>
      <c r="B22" s="118" t="s">
        <v>41</v>
      </c>
      <c r="C22" s="118" t="str">
        <f aca="false">'12.lan'!D121</f>
        <v>Positive influence on transparency and co-determination throughout the supply chain</v>
      </c>
      <c r="D22" s="119" t="n">
        <f aca="false">C104</f>
        <v>1</v>
      </c>
      <c r="E22" s="120" t="str">
        <f aca="false">VLOOKUP(D22,$C$102:$D$106,2,FALSE())</f>
        <v>medium</v>
      </c>
      <c r="F22" s="121" t="str">
        <f aca="false">'12.lan'!$D$329</f>
        <v>Introduce value between 0 and 10</v>
      </c>
      <c r="G22" s="122"/>
      <c r="H22" s="123" t="n">
        <v>6</v>
      </c>
      <c r="I22" s="124" t="n">
        <f aca="false">IFERROR(J22*H22/10,0)</f>
        <v>13.3333333333333</v>
      </c>
      <c r="J22" s="124" t="n">
        <f aca="false">IFERROR(J20*K22/(K21+K22),0)</f>
        <v>22.2222222222222</v>
      </c>
      <c r="K22" s="27" t="n">
        <f aca="false">VLOOKUP(D22,$C$102:$E$106,3,FALSE())</f>
        <v>1</v>
      </c>
      <c r="L22" s="27" t="n">
        <f aca="false">VLOOKUP(O22,$C$102:$E$106,3,FALSE())</f>
        <v>1</v>
      </c>
      <c r="M22" s="27" t="n">
        <f aca="false">VLOOKUP(D22,$C$102:$E$106,3,FALSE())</f>
        <v>1</v>
      </c>
      <c r="N22" s="58" t="str">
        <f aca="false">IF(L22=M22,"",'12.lan'!$D$240&amp;VLOOKUP(L22,$C$102:$D$106,2,FALSE())&amp;" ("&amp;L22&amp;")")</f>
        <v/>
      </c>
      <c r="O22" s="27" t="n">
        <f aca="false">C104</f>
        <v>1</v>
      </c>
    </row>
    <row r="23" customFormat="false" ht="36" hidden="false" customHeight="true" outlineLevel="0" collapsed="false">
      <c r="A23" s="29"/>
      <c r="B23" s="104" t="s">
        <v>42</v>
      </c>
      <c r="C23" s="104" t="str">
        <f aca="false">'12.lan'!D122</f>
        <v>Owners, equity- and financial service providers</v>
      </c>
      <c r="D23" s="128" t="n">
        <f aca="false">L23</f>
        <v>0.5</v>
      </c>
      <c r="E23" s="129" t="str">
        <f aca="false">VLOOKUP(D23,$C$102:$D$106,2,FALSE())</f>
        <v>low</v>
      </c>
      <c r="F23" s="130"/>
      <c r="G23" s="130"/>
      <c r="H23" s="108" t="n">
        <f aca="false">IFERROR(I23/J23,0)</f>
        <v>0.37</v>
      </c>
      <c r="I23" s="109" t="n">
        <f aca="false">I24+I28+I31+I35</f>
        <v>41.1111111111111</v>
      </c>
      <c r="J23" s="109" t="n">
        <f aca="false">J24+J28+J31+J35</f>
        <v>111.111111111111</v>
      </c>
      <c r="L23" s="27" t="n">
        <f aca="false">'9. Weighting'!K50</f>
        <v>0.5</v>
      </c>
      <c r="N23" s="110" t="str">
        <f aca="false">IF(D23&lt;&gt;L23,'12.lan'!$D$240&amp;VLOOKUP(L23,$C$102:$D$106,2,FALSE())&amp;" ("&amp;L23&amp;")","")</f>
        <v/>
      </c>
    </row>
    <row r="24" customFormat="false" ht="33" hidden="false" customHeight="true" outlineLevel="0" collapsed="false">
      <c r="A24" s="29"/>
      <c r="B24" s="111" t="s">
        <v>43</v>
      </c>
      <c r="C24" s="112" t="str">
        <f aca="false">'12.lan'!D123</f>
        <v>Ethical position in relation to financial resources</v>
      </c>
      <c r="D24" s="113" t="n">
        <f aca="false">IF(K24="trifft nicht zu",C106,'9. Weighting'!M24)</f>
        <v>1.5</v>
      </c>
      <c r="E24" s="131" t="str">
        <f aca="false">VLOOKUP(D24,$C$102:$D$106,2,FALSE())</f>
        <v>high</v>
      </c>
      <c r="F24" s="125" t="n">
        <f aca="false">IF(K24="trifft nicht zu","trifft nicht zu",'9. Weighting'!M24)</f>
        <v>1.5</v>
      </c>
      <c r="G24" s="126"/>
      <c r="H24" s="116" t="n">
        <f aca="false">IF(J24&lt;&gt;0,ROUND(SUM(I25:I27)/J24,1),"-")</f>
        <v>0.8</v>
      </c>
      <c r="I24" s="117" t="n">
        <f aca="false">IF(J24=0,0,H24*J24)</f>
        <v>26.6666666666667</v>
      </c>
      <c r="J24" s="117" t="n">
        <f aca="false">'9. Weighting'!M23</f>
        <v>33.3333333333333</v>
      </c>
      <c r="K24" s="27" t="str">
        <f aca="false">IF(AND(D25="trifft nicht zu",D26="trifft nicht zu",,D27="trifft nicht zu"),"trifft nicht zu","")</f>
        <v/>
      </c>
      <c r="L24" s="27" t="n">
        <f aca="false">VLOOKUP(O24,$C$102:$E$106,3,FALSE())</f>
        <v>1.5</v>
      </c>
      <c r="M24" s="27" t="n">
        <f aca="false">VLOOKUP(D24,$C$102:$E$106,3,FALSE())</f>
        <v>1.5</v>
      </c>
      <c r="N24" s="58" t="str">
        <f aca="false">IF(L24=M24,"",'12.lan'!$D$240&amp;VLOOKUP(L24,$C$102:$D$106,2,FALSE())&amp;" ("&amp;L24&amp;")")</f>
        <v/>
      </c>
      <c r="O24" s="132" t="n">
        <f aca="false">IF(K24="trifft nicht zu",C106,'9. Weighting'!M24)</f>
        <v>1.5</v>
      </c>
    </row>
    <row r="25" customFormat="false" ht="30" hidden="false" customHeight="true" outlineLevel="0" collapsed="false">
      <c r="A25" s="29"/>
      <c r="B25" s="133" t="s">
        <v>44</v>
      </c>
      <c r="C25" s="118" t="str">
        <f aca="false">'12.lan'!D124</f>
        <v>Financial independence through equity financing</v>
      </c>
      <c r="D25" s="119" t="n">
        <f aca="false">C104</f>
        <v>1</v>
      </c>
      <c r="E25" s="127" t="str">
        <f aca="false">VLOOKUP(D25,$C$102:$D$106,2,FALSE())</f>
        <v>medium</v>
      </c>
      <c r="F25" s="121" t="str">
        <f aca="false">'12.lan'!$D$329</f>
        <v>Introduce value between 0 and 10</v>
      </c>
      <c r="G25" s="122"/>
      <c r="H25" s="123" t="n">
        <v>7</v>
      </c>
      <c r="I25" s="124" t="n">
        <f aca="false">IFERROR(J25*H25/10,0)</f>
        <v>7.77777777777778</v>
      </c>
      <c r="J25" s="124" t="n">
        <f aca="false">IFERROR($J$24*K25/($K$27+$K$26+$K$25),0)</f>
        <v>11.1111111111111</v>
      </c>
      <c r="K25" s="27" t="n">
        <f aca="false">VLOOKUP(D25,$C$102:$E$106,3,FALSE())</f>
        <v>1</v>
      </c>
      <c r="L25" s="27" t="n">
        <f aca="false">VLOOKUP(O25,$C$102:$E$106,3,FALSE())</f>
        <v>1</v>
      </c>
      <c r="M25" s="27" t="n">
        <f aca="false">VLOOKUP(D25,$C$102:$E$106,3,FALSE())</f>
        <v>1</v>
      </c>
      <c r="N25" s="58" t="str">
        <f aca="false">IF(L25=M25,"",'12.lan'!$D$240&amp;VLOOKUP(L25,$C$102:$D$106,2,FALSE())&amp;" ("&amp;L25&amp;")")</f>
        <v/>
      </c>
      <c r="O25" s="27" t="n">
        <f aca="false">C104</f>
        <v>1</v>
      </c>
    </row>
    <row r="26" customFormat="false" ht="30" hidden="false" customHeight="true" outlineLevel="0" collapsed="false">
      <c r="A26" s="29"/>
      <c r="B26" s="38" t="s">
        <v>45</v>
      </c>
      <c r="C26" s="48" t="str">
        <f aca="false">'12.lan'!D125</f>
        <v>Common Good-orientated borrowing</v>
      </c>
      <c r="D26" s="119" t="n">
        <f aca="false">C104</f>
        <v>1</v>
      </c>
      <c r="E26" s="127" t="str">
        <f aca="false">VLOOKUP(D26,$C$102:$D$106,2,FALSE())</f>
        <v>medium</v>
      </c>
      <c r="F26" s="121" t="str">
        <f aca="false">'12.lan'!$D$329</f>
        <v>Introduce value between 0 and 10</v>
      </c>
      <c r="G26" s="122"/>
      <c r="H26" s="123" t="n">
        <v>8</v>
      </c>
      <c r="I26" s="124" t="n">
        <f aca="false">IFERROR(J26*H26/10,0)</f>
        <v>8.88888888888889</v>
      </c>
      <c r="J26" s="124" t="n">
        <f aca="false">IFERROR($J$24*K26/($K$27+$K$26+$K$25),0)</f>
        <v>11.1111111111111</v>
      </c>
      <c r="K26" s="27" t="n">
        <f aca="false">VLOOKUP(D26,$C$102:$E$106,3,FALSE())</f>
        <v>1</v>
      </c>
      <c r="L26" s="27" t="n">
        <f aca="false">VLOOKUP(O26,$C$102:$E$106,3,FALSE())</f>
        <v>1</v>
      </c>
      <c r="M26" s="27" t="n">
        <f aca="false">VLOOKUP(D26,$C$102:$E$106,3,FALSE())</f>
        <v>1</v>
      </c>
      <c r="N26" s="58" t="str">
        <f aca="false">IF(L26=M26,"",'12.lan'!$D$240&amp;VLOOKUP(L26,$C$102:$D$106,2,FALSE())&amp;" ("&amp;L26&amp;")")</f>
        <v/>
      </c>
      <c r="O26" s="27" t="n">
        <f aca="false">C104</f>
        <v>1</v>
      </c>
    </row>
    <row r="27" customFormat="false" ht="30" hidden="false" customHeight="true" outlineLevel="0" collapsed="false">
      <c r="A27" s="29"/>
      <c r="B27" s="38" t="s">
        <v>46</v>
      </c>
      <c r="C27" s="48" t="str">
        <f aca="false">'12.lan'!D126</f>
        <v>Ethical position of external financial partners</v>
      </c>
      <c r="D27" s="119" t="n">
        <f aca="false">C104</f>
        <v>1</v>
      </c>
      <c r="E27" s="127" t="str">
        <f aca="false">VLOOKUP(D27,$C$102:$D$106,2,FALSE())</f>
        <v>medium</v>
      </c>
      <c r="F27" s="121" t="str">
        <f aca="false">'12.lan'!$D$329</f>
        <v>Introduce value between 0 and 10</v>
      </c>
      <c r="G27" s="122"/>
      <c r="H27" s="123" t="n">
        <v>9</v>
      </c>
      <c r="I27" s="124" t="n">
        <f aca="false">IFERROR(J27*H27/10,0)</f>
        <v>10</v>
      </c>
      <c r="J27" s="124" t="n">
        <f aca="false">IFERROR($J$24*K27/($K$27+$K$26+$K$25),0)</f>
        <v>11.1111111111111</v>
      </c>
      <c r="K27" s="27" t="n">
        <f aca="false">VLOOKUP(D27,$C$102:$E$106,3,FALSE())</f>
        <v>1</v>
      </c>
      <c r="L27" s="27" t="n">
        <f aca="false">VLOOKUP(O27,$C$102:$E$106,3,FALSE())</f>
        <v>1</v>
      </c>
      <c r="M27" s="27" t="n">
        <f aca="false">VLOOKUP(D27,$C$102:$E$106,3,FALSE())</f>
        <v>1</v>
      </c>
      <c r="N27" s="58" t="str">
        <f aca="false">IF(L27=M27,"",'12.lan'!$D$240&amp;VLOOKUP(L27,$C$102:$D$106,2,FALSE())&amp;" ("&amp;L27&amp;")")</f>
        <v/>
      </c>
      <c r="O27" s="27" t="n">
        <f aca="false">C104</f>
        <v>1</v>
      </c>
    </row>
    <row r="28" customFormat="false" ht="33" hidden="false" customHeight="true" outlineLevel="0" collapsed="false">
      <c r="A28" s="29"/>
      <c r="B28" s="111" t="s">
        <v>47</v>
      </c>
      <c r="C28" s="112" t="str">
        <f aca="false">'12.lan'!D127</f>
        <v>Social position in relation to financial resources</v>
      </c>
      <c r="D28" s="113" t="n">
        <f aca="false">IF(K28="trifft nicht zu",C106,'9. Weighting'!N24)</f>
        <v>1</v>
      </c>
      <c r="E28" s="131" t="str">
        <f aca="false">VLOOKUP(D28,$C$102:$D$106,2,FALSE())</f>
        <v>medium</v>
      </c>
      <c r="F28" s="125" t="n">
        <f aca="false">IF(K28="trifft nicht zu","trifft nicht zu",'9. Weighting'!N24)</f>
        <v>1</v>
      </c>
      <c r="G28" s="126"/>
      <c r="H28" s="116" t="n">
        <f aca="false">IF(J28&lt;&gt;0,ROUND(SUM(I29:I30)/J28,1),"-")</f>
        <v>0.1</v>
      </c>
      <c r="I28" s="117" t="n">
        <f aca="false">IF(J28=0,0,H28*J28)</f>
        <v>2.22222222222222</v>
      </c>
      <c r="J28" s="117" t="n">
        <f aca="false">'9. Weighting'!N23</f>
        <v>22.2222222222222</v>
      </c>
      <c r="L28" s="27" t="n">
        <f aca="false">VLOOKUP(O28,$C$102:$E$106,3,FALSE())</f>
        <v>1</v>
      </c>
      <c r="M28" s="27" t="n">
        <f aca="false">VLOOKUP(D28,$C$102:$E$106,3,FALSE())</f>
        <v>1</v>
      </c>
      <c r="N28" s="58" t="str">
        <f aca="false">IF(L28=M28,"",'12.lan'!$D$240&amp;VLOOKUP(L28,$C$102:$D$106,2,FALSE())&amp;" ("&amp;L28&amp;")")</f>
        <v/>
      </c>
      <c r="O28" s="132" t="n">
        <f aca="false">IF(K28="trifft nicht zu",C106,'9. Weighting'!N24)</f>
        <v>1</v>
      </c>
    </row>
    <row r="29" customFormat="false" ht="30" hidden="false" customHeight="true" outlineLevel="0" collapsed="false">
      <c r="A29" s="29"/>
      <c r="B29" s="133" t="s">
        <v>48</v>
      </c>
      <c r="C29" s="118" t="str">
        <f aca="false">'12.lan'!D128</f>
        <v>Solidarity and Common Good-orientated use of funds</v>
      </c>
      <c r="D29" s="134"/>
      <c r="E29" s="135"/>
      <c r="F29" s="121" t="str">
        <f aca="false">'12.lan'!$D$329</f>
        <v>Introduce value between 0 and 10</v>
      </c>
      <c r="G29" s="122"/>
      <c r="H29" s="123" t="n">
        <v>1</v>
      </c>
      <c r="I29" s="124" t="n">
        <f aca="false">J29*H29/10</f>
        <v>2.22222222222222</v>
      </c>
      <c r="J29" s="124" t="n">
        <f aca="false">$J$28*K29/(K29)</f>
        <v>22.2222222222222</v>
      </c>
      <c r="K29" s="27" t="n">
        <v>1</v>
      </c>
      <c r="L29" s="27" t="e">
        <f aca="false">VLOOKUP(O29,$C$102:$E$106,3,FALSE())</f>
        <v>#N/A</v>
      </c>
      <c r="M29" s="27" t="e">
        <f aca="false">VLOOKUP(D29,$C$102:$E$106,3,FALSE())</f>
        <v>#N/A</v>
      </c>
      <c r="N29" s="58"/>
    </row>
    <row r="30" customFormat="false" ht="30" hidden="false" customHeight="true" outlineLevel="0" collapsed="false">
      <c r="A30" s="29"/>
      <c r="B30" s="38" t="s">
        <v>49</v>
      </c>
      <c r="C30" s="48" t="str">
        <f aca="false">'12.lan'!D129</f>
        <v>Negative aspect: unfair distribution of funds</v>
      </c>
      <c r="D30" s="136"/>
      <c r="E30" s="127"/>
      <c r="F30" s="121" t="str">
        <f aca="false">'12.lan'!$D$330</f>
        <v>Introduce negative points between 0 and -200</v>
      </c>
      <c r="G30" s="122"/>
      <c r="H30" s="123" t="n">
        <v>0</v>
      </c>
      <c r="I30" s="124" t="n">
        <f aca="false">H30*J28/50</f>
        <v>0</v>
      </c>
      <c r="J30" s="124" t="n">
        <f aca="false">-200*J28/50</f>
        <v>-88.8888888888889</v>
      </c>
    </row>
    <row r="31" customFormat="false" ht="33" hidden="false" customHeight="true" outlineLevel="0" collapsed="false">
      <c r="A31" s="29"/>
      <c r="B31" s="111" t="s">
        <v>50</v>
      </c>
      <c r="C31" s="112" t="str">
        <f aca="false">'12.lan'!D130</f>
        <v>Use of funds in relation to social and environmental impacts</v>
      </c>
      <c r="D31" s="113" t="n">
        <f aca="false">IF(K31="trifft nicht zu",C106,'9. Weighting'!O24)</f>
        <v>1.5</v>
      </c>
      <c r="E31" s="131" t="str">
        <f aca="false">VLOOKUP(D31,$C$102:$D$106,2,FALSE())</f>
        <v>high</v>
      </c>
      <c r="F31" s="125" t="n">
        <f aca="false">IF(K31="trifft nicht zu","trifft nicht zu",'9. Weighting'!O24)</f>
        <v>1.5</v>
      </c>
      <c r="G31" s="126"/>
      <c r="H31" s="116" t="n">
        <f aca="false">IF(J31&lt;&gt;0,ROUND(SUM(I32:I34)/J31,1),"-")</f>
        <v>0.3</v>
      </c>
      <c r="I31" s="117" t="n">
        <f aca="false">IF(J31=0,0,H31*J31)</f>
        <v>10</v>
      </c>
      <c r="J31" s="117" t="n">
        <f aca="false">'9. Weighting'!O23</f>
        <v>33.3333333333333</v>
      </c>
      <c r="K31" s="27" t="str">
        <f aca="false">IF(AND(D32="trifft nicht zu",D33="trifft nicht zu"),"trifft nicht zu","")</f>
        <v/>
      </c>
      <c r="L31" s="27" t="n">
        <f aca="false">VLOOKUP(O31,$C$102:$E$106,3,FALSE())</f>
        <v>1.5</v>
      </c>
      <c r="M31" s="27" t="n">
        <f aca="false">VLOOKUP(D31,$C$102:$E$106,3,FALSE())</f>
        <v>1.5</v>
      </c>
      <c r="N31" s="58" t="str">
        <f aca="false">IF(L31=M31,"",'12.lan'!$D$240&amp;VLOOKUP(L31,$C$102:$D$106,2,FALSE())&amp;" ("&amp;L31&amp;")")</f>
        <v/>
      </c>
      <c r="O31" s="132" t="n">
        <f aca="false">IF(K31="trifft nicht zu",C106,'9. Weighting'!O24)</f>
        <v>1.5</v>
      </c>
    </row>
    <row r="32" customFormat="false" ht="30" hidden="false" customHeight="true" outlineLevel="0" collapsed="false">
      <c r="A32" s="29"/>
      <c r="B32" s="133" t="s">
        <v>51</v>
      </c>
      <c r="C32" s="118" t="str">
        <f aca="false">'12.lan'!D131</f>
        <v>Environmental quality of investments</v>
      </c>
      <c r="D32" s="119" t="n">
        <f aca="false">C104</f>
        <v>1</v>
      </c>
      <c r="E32" s="127" t="str">
        <f aca="false">VLOOKUP(D32,$C$102:$D$106,2,FALSE())</f>
        <v>medium</v>
      </c>
      <c r="F32" s="121" t="str">
        <f aca="false">'12.lan'!$D$329</f>
        <v>Introduce value between 0 and 10</v>
      </c>
      <c r="G32" s="122"/>
      <c r="H32" s="123" t="n">
        <v>2</v>
      </c>
      <c r="I32" s="124" t="n">
        <f aca="false">IFERROR(J32*H32/10,0)</f>
        <v>3.33333333333333</v>
      </c>
      <c r="J32" s="124" t="n">
        <f aca="false">IFERROR($J$31*K32/($K$32+$K$33),0)</f>
        <v>16.6666666666667</v>
      </c>
      <c r="K32" s="27" t="n">
        <f aca="false">VLOOKUP(D32,$C$102:$E$106,3,FALSE())</f>
        <v>1</v>
      </c>
      <c r="L32" s="27" t="n">
        <f aca="false">VLOOKUP(O32,$C$102:$E$106,3,FALSE())</f>
        <v>1</v>
      </c>
      <c r="M32" s="27" t="n">
        <f aca="false">VLOOKUP(D32,$C$102:$E$106,3,FALSE())</f>
        <v>1</v>
      </c>
      <c r="N32" s="58" t="str">
        <f aca="false">IF(L32=M32,"",'12.lan'!$D$240&amp;VLOOKUP(L32,$C$102:$D$106,2,FALSE())&amp;" ("&amp;L32&amp;")")</f>
        <v/>
      </c>
      <c r="O32" s="27" t="n">
        <f aca="false">C104</f>
        <v>1</v>
      </c>
    </row>
    <row r="33" customFormat="false" ht="30" hidden="false" customHeight="true" outlineLevel="0" collapsed="false">
      <c r="A33" s="29"/>
      <c r="B33" s="38" t="s">
        <v>52</v>
      </c>
      <c r="C33" s="48" t="str">
        <f aca="false">'12.lan'!D132</f>
        <v>Common Good-orientated investment</v>
      </c>
      <c r="D33" s="119" t="n">
        <f aca="false">C104</f>
        <v>1</v>
      </c>
      <c r="E33" s="127" t="str">
        <f aca="false">VLOOKUP(D33,$C$102:$D$106,2,FALSE())</f>
        <v>medium</v>
      </c>
      <c r="F33" s="121" t="str">
        <f aca="false">'12.lan'!$D$329</f>
        <v>Introduce value between 0 and 10</v>
      </c>
      <c r="G33" s="122"/>
      <c r="H33" s="123" t="n">
        <v>3</v>
      </c>
      <c r="I33" s="124" t="n">
        <f aca="false">IFERROR(J33*H33/10,0)</f>
        <v>5</v>
      </c>
      <c r="J33" s="124" t="n">
        <f aca="false">IFERROR($J$31*K33/($K$32+$K$33),0)</f>
        <v>16.6666666666667</v>
      </c>
      <c r="K33" s="27" t="n">
        <f aca="false">VLOOKUP(D33,$C$102:$E$106,3,FALSE())</f>
        <v>1</v>
      </c>
      <c r="L33" s="27" t="n">
        <f aca="false">VLOOKUP(O33,$C$102:$E$106,3,FALSE())</f>
        <v>1</v>
      </c>
      <c r="M33" s="27" t="n">
        <f aca="false">VLOOKUP(D33,$C$102:$E$106,3,FALSE())</f>
        <v>1</v>
      </c>
      <c r="N33" s="58" t="str">
        <f aca="false">IF(L33=M33,"",'12.lan'!$D$240&amp;VLOOKUP(L33,$C$102:$D$106,2,FALSE())&amp;" ("&amp;L33&amp;")")</f>
        <v/>
      </c>
      <c r="O33" s="27" t="n">
        <f aca="false">C104</f>
        <v>1</v>
      </c>
    </row>
    <row r="34" customFormat="false" ht="30" hidden="false" customHeight="true" outlineLevel="0" collapsed="false">
      <c r="A34" s="29"/>
      <c r="B34" s="38" t="s">
        <v>53</v>
      </c>
      <c r="C34" s="48" t="str">
        <f aca="false">'12.lan'!D133</f>
        <v>Negative aspect: reliance on environmentally unsafe resources</v>
      </c>
      <c r="D34" s="119"/>
      <c r="E34" s="127"/>
      <c r="F34" s="121" t="str">
        <f aca="false">'12.lan'!$D$330</f>
        <v>Introduce negative points between 0 and -200</v>
      </c>
      <c r="G34" s="122"/>
      <c r="H34" s="123" t="n">
        <v>0</v>
      </c>
      <c r="I34" s="124" t="n">
        <f aca="false">H34*J31/50</f>
        <v>0</v>
      </c>
      <c r="J34" s="124" t="n">
        <f aca="false">-200*J31/50</f>
        <v>-133.333333333333</v>
      </c>
    </row>
    <row r="35" customFormat="false" ht="33" hidden="false" customHeight="true" outlineLevel="0" collapsed="false">
      <c r="A35" s="29"/>
      <c r="B35" s="111" t="s">
        <v>54</v>
      </c>
      <c r="C35" s="112" t="str">
        <f aca="false">'12.lan'!D134</f>
        <v>Ownership and co-determination</v>
      </c>
      <c r="D35" s="113" t="n">
        <f aca="false">IF(K35="trifft nicht zu",C106,'9. Weighting'!P24)</f>
        <v>1</v>
      </c>
      <c r="E35" s="131" t="str">
        <f aca="false">VLOOKUP(D35,$C$102:$D$106,2,FALSE())</f>
        <v>medium</v>
      </c>
      <c r="F35" s="125" t="n">
        <f aca="false">IF(K35="trifft nicht zu","trifft nicht zu",'9. Weighting'!P24)</f>
        <v>1</v>
      </c>
      <c r="G35" s="126"/>
      <c r="H35" s="116" t="n">
        <f aca="false">IF(J35&lt;&gt;0,ROUND(SUM(I36:I37)/J35,1),"-")</f>
        <v>0.1</v>
      </c>
      <c r="I35" s="117" t="n">
        <f aca="false">IF(J35=0,0,H35*J35)</f>
        <v>2.22222222222222</v>
      </c>
      <c r="J35" s="117" t="n">
        <f aca="false">'9. Weighting'!P23</f>
        <v>22.2222222222222</v>
      </c>
      <c r="L35" s="27" t="n">
        <f aca="false">VLOOKUP(O35,$C$102:$E$106,3,FALSE())</f>
        <v>1</v>
      </c>
      <c r="M35" s="27" t="n">
        <f aca="false">VLOOKUP(D35,$C$102:$E$106,3,FALSE())</f>
        <v>1</v>
      </c>
      <c r="N35" s="58" t="str">
        <f aca="false">IF(L35=M35,"",'12.lan'!$D$240&amp;VLOOKUP(L35,$C$102:$D$106,2,FALSE())&amp;" ("&amp;L35&amp;")")</f>
        <v/>
      </c>
      <c r="O35" s="27" t="n">
        <f aca="false">IF(K35="trifft nicht zu",C106,'9. Weighting'!P24)</f>
        <v>1</v>
      </c>
    </row>
    <row r="36" customFormat="false" ht="30" hidden="false" customHeight="true" outlineLevel="0" collapsed="false">
      <c r="A36" s="29"/>
      <c r="B36" s="133" t="s">
        <v>55</v>
      </c>
      <c r="C36" s="118" t="str">
        <f aca="false">'12.lan'!D135</f>
        <v>Common Good-orientated ownership structure</v>
      </c>
      <c r="D36" s="119"/>
      <c r="E36" s="127"/>
      <c r="F36" s="121" t="str">
        <f aca="false">'12.lan'!$D$329</f>
        <v>Introduce value between 0 and 10</v>
      </c>
      <c r="G36" s="122"/>
      <c r="H36" s="123" t="n">
        <v>1</v>
      </c>
      <c r="I36" s="124" t="n">
        <f aca="false">J36*H36/10</f>
        <v>2.22222222222222</v>
      </c>
      <c r="J36" s="124" t="n">
        <f aca="false">$J$35*K36/(K36)</f>
        <v>22.2222222222222</v>
      </c>
      <c r="K36" s="27" t="n">
        <v>1</v>
      </c>
    </row>
    <row r="37" customFormat="false" ht="30" hidden="false" customHeight="true" outlineLevel="0" collapsed="false">
      <c r="A37" s="29"/>
      <c r="B37" s="38" t="s">
        <v>56</v>
      </c>
      <c r="C37" s="48" t="str">
        <f aca="false">'12.lan'!D136</f>
        <v>Negative aspect: hostile takeover</v>
      </c>
      <c r="D37" s="119"/>
      <c r="E37" s="127"/>
      <c r="F37" s="121" t="str">
        <f aca="false">'12.lan'!$D$330</f>
        <v>Introduce negative points between 0 and -200</v>
      </c>
      <c r="G37" s="122"/>
      <c r="H37" s="123" t="n">
        <v>0</v>
      </c>
      <c r="I37" s="124" t="n">
        <f aca="false">H37*J35/50</f>
        <v>0</v>
      </c>
      <c r="J37" s="124" t="n">
        <f aca="false">-200*J35/50</f>
        <v>-88.8888888888889</v>
      </c>
    </row>
    <row r="38" customFormat="false" ht="36" hidden="false" customHeight="true" outlineLevel="0" collapsed="false">
      <c r="A38" s="29"/>
      <c r="B38" s="104" t="s">
        <v>57</v>
      </c>
      <c r="C38" s="104" t="str">
        <f aca="false">'12.lan'!D137</f>
        <v>Employees</v>
      </c>
      <c r="D38" s="128" t="n">
        <f aca="false">L38</f>
        <v>2</v>
      </c>
      <c r="E38" s="129" t="str">
        <f aca="false">VLOOKUP(D38,$C$102:$D$106,2,FALSE())</f>
        <v>very high</v>
      </c>
      <c r="F38" s="130"/>
      <c r="G38" s="130"/>
      <c r="H38" s="108" t="n">
        <f aca="false">IFERROR(I38/J38,0)</f>
        <v>0.2</v>
      </c>
      <c r="I38" s="109" t="n">
        <f aca="false">I39+I44+I49+I54</f>
        <v>71.1111111111111</v>
      </c>
      <c r="J38" s="109" t="n">
        <f aca="false">J39+J44+J49+J54</f>
        <v>355.555555555556</v>
      </c>
      <c r="L38" s="27" t="n">
        <f aca="false">'9. Weighting'!K51</f>
        <v>2</v>
      </c>
      <c r="N38" s="110" t="str">
        <f aca="false">IF(D38&lt;&gt;L38,'12.lan'!$D$240&amp;VLOOKUP(L38,$C$102:$D$106,2,FALSE())&amp;" ("&amp;L38&amp;")","")</f>
        <v/>
      </c>
    </row>
    <row r="39" customFormat="false" ht="32.25" hidden="false" customHeight="true" outlineLevel="0" collapsed="false">
      <c r="A39" s="29"/>
      <c r="B39" s="111" t="s">
        <v>58</v>
      </c>
      <c r="C39" s="112" t="str">
        <f aca="false">'12.lan'!D138</f>
        <v>Human dignity in the workplace and working environment</v>
      </c>
      <c r="D39" s="113" t="n">
        <v>1</v>
      </c>
      <c r="E39" s="131" t="str">
        <f aca="false">VLOOKUP(D39,$C$102:$D$106,2,FALSE())</f>
        <v>medium</v>
      </c>
      <c r="F39" s="125" t="n">
        <f aca="false">IF(K39="trifft nicht zu","trifft nicht zu",'9. Weighting'!M30)</f>
        <v>1</v>
      </c>
      <c r="G39" s="126"/>
      <c r="H39" s="116" t="n">
        <f aca="false">IF(J39&lt;&gt;0,ROUND(SUM(I40:I43)/J39,1),"-")</f>
        <v>0.2</v>
      </c>
      <c r="I39" s="117" t="n">
        <f aca="false">IF(J39=0,0,H39*J39)</f>
        <v>17.7777777777778</v>
      </c>
      <c r="J39" s="117" t="n">
        <f aca="false">'9. Weighting'!M29</f>
        <v>88.8888888888889</v>
      </c>
      <c r="K39" s="27" t="str">
        <f aca="false">IF(AND(D40="trifft nicht zu",D41="trifft nicht zu",,D42="trifft nicht zu"),"trifft nicht zu","")</f>
        <v/>
      </c>
      <c r="L39" s="27" t="n">
        <f aca="false">VLOOKUP(O39,$C$102:$E$106,3,FALSE())</f>
        <v>1</v>
      </c>
      <c r="M39" s="27" t="n">
        <f aca="false">VLOOKUP(D39,$C$102:$E$106,3,FALSE())</f>
        <v>1</v>
      </c>
      <c r="N39" s="58" t="str">
        <f aca="false">IF(L39=M39,"",'12.lan'!$D$240&amp;VLOOKUP(L39,$C$102:$D$106,2,FALSE())&amp;" ("&amp;L39&amp;")")</f>
        <v/>
      </c>
      <c r="O39" s="27" t="n">
        <f aca="false">IF(K39="trifft nicht zu",C106,'9. Weighting'!M30)</f>
        <v>1</v>
      </c>
    </row>
    <row r="40" customFormat="false" ht="30" hidden="false" customHeight="true" outlineLevel="0" collapsed="false">
      <c r="A40" s="29"/>
      <c r="B40" s="118" t="s">
        <v>59</v>
      </c>
      <c r="C40" s="118" t="str">
        <f aca="false">'12.lan'!D139</f>
        <v>Employee-focused organisational culture</v>
      </c>
      <c r="D40" s="119" t="n">
        <f aca="false">C104</f>
        <v>1</v>
      </c>
      <c r="E40" s="127" t="str">
        <f aca="false">VLOOKUP(D40,$C$102:$D$106,2,FALSE())</f>
        <v>medium</v>
      </c>
      <c r="F40" s="121" t="str">
        <f aca="false">'12.lan'!$D$329</f>
        <v>Introduce value between 0 and 10</v>
      </c>
      <c r="G40" s="122"/>
      <c r="H40" s="123" t="n">
        <v>1</v>
      </c>
      <c r="I40" s="124" t="n">
        <f aca="false">IFERROR(J40*H40/10,0)</f>
        <v>2.96296296296296</v>
      </c>
      <c r="J40" s="124" t="n">
        <f aca="false">IFERROR($J$39*K40/(SUM($K$40:$K$42)),0)</f>
        <v>29.6296296296296</v>
      </c>
      <c r="K40" s="27" t="n">
        <f aca="false">VLOOKUP(D40,$C$102:$E$106,3,FALSE())</f>
        <v>1</v>
      </c>
      <c r="L40" s="27" t="n">
        <f aca="false">VLOOKUP(O40,$C$102:$E$106,3,FALSE())</f>
        <v>1</v>
      </c>
      <c r="M40" s="27" t="n">
        <f aca="false">VLOOKUP(D40,$C$102:$E$106,3,FALSE())</f>
        <v>1</v>
      </c>
      <c r="N40" s="58" t="str">
        <f aca="false">IF(L40=M40,"",'12.lan'!$D$240&amp;VLOOKUP(L40,$C$102:$D$106,2,FALSE())&amp;" ("&amp;L40&amp;")")</f>
        <v/>
      </c>
      <c r="O40" s="27" t="n">
        <f aca="false">C104</f>
        <v>1</v>
      </c>
    </row>
    <row r="41" customFormat="false" ht="30" hidden="false" customHeight="true" outlineLevel="0" collapsed="false">
      <c r="A41" s="29"/>
      <c r="B41" s="48" t="s">
        <v>60</v>
      </c>
      <c r="C41" s="48" t="str">
        <f aca="false">'12.lan'!D140</f>
        <v>Health promotion and occupational health and safety</v>
      </c>
      <c r="D41" s="119" t="n">
        <f aca="false">C104</f>
        <v>1</v>
      </c>
      <c r="E41" s="127" t="str">
        <f aca="false">VLOOKUP(D41,$C$102:$D$106,2,FALSE())</f>
        <v>medium</v>
      </c>
      <c r="F41" s="121" t="str">
        <f aca="false">'12.lan'!$D$329</f>
        <v>Introduce value between 0 and 10</v>
      </c>
      <c r="G41" s="122"/>
      <c r="H41" s="123" t="n">
        <v>2</v>
      </c>
      <c r="I41" s="124" t="n">
        <f aca="false">IFERROR(J41*H41/10,0)</f>
        <v>5.92592592592593</v>
      </c>
      <c r="J41" s="124" t="n">
        <f aca="false">IFERROR($J$39*K41/(SUM($K$40:$K$42)),0)</f>
        <v>29.6296296296296</v>
      </c>
      <c r="K41" s="27" t="n">
        <f aca="false">VLOOKUP(D41,$C$102:$E$106,3,FALSE())</f>
        <v>1</v>
      </c>
      <c r="L41" s="27" t="n">
        <f aca="false">VLOOKUP(O41,$C$102:$E$106,3,FALSE())</f>
        <v>1</v>
      </c>
      <c r="M41" s="27" t="n">
        <f aca="false">VLOOKUP(D41,$C$102:$E$106,3,FALSE())</f>
        <v>1</v>
      </c>
      <c r="N41" s="58" t="str">
        <f aca="false">IF(L41=M41,"",'12.lan'!$D$240&amp;VLOOKUP(L41,$C$102:$D$106,2,FALSE())&amp;" ("&amp;L41&amp;")")</f>
        <v/>
      </c>
      <c r="O41" s="27" t="n">
        <f aca="false">C104</f>
        <v>1</v>
      </c>
    </row>
    <row r="42" customFormat="false" ht="30" hidden="false" customHeight="true" outlineLevel="0" collapsed="false">
      <c r="A42" s="29"/>
      <c r="B42" s="48" t="s">
        <v>61</v>
      </c>
      <c r="C42" s="48" t="str">
        <f aca="false">'12.lan'!D141</f>
        <v>Diversity and equal opportunities</v>
      </c>
      <c r="D42" s="119" t="n">
        <f aca="false">C104</f>
        <v>1</v>
      </c>
      <c r="E42" s="127" t="str">
        <f aca="false">VLOOKUP(D42,$C$102:$D$106,2,FALSE())</f>
        <v>medium</v>
      </c>
      <c r="F42" s="121" t="str">
        <f aca="false">'12.lan'!$D$329</f>
        <v>Introduce value between 0 and 10</v>
      </c>
      <c r="G42" s="122"/>
      <c r="H42" s="123" t="n">
        <v>3</v>
      </c>
      <c r="I42" s="124" t="n">
        <f aca="false">IFERROR(J42*H42/10,0)</f>
        <v>8.88888888888889</v>
      </c>
      <c r="J42" s="124" t="n">
        <f aca="false">IFERROR($J$39*K42/(SUM($K$40:$K$42)),0)</f>
        <v>29.6296296296296</v>
      </c>
      <c r="K42" s="27" t="n">
        <f aca="false">VLOOKUP(D42,$C$102:$E$106,3,FALSE())</f>
        <v>1</v>
      </c>
      <c r="L42" s="27" t="n">
        <f aca="false">VLOOKUP(O42,$C$102:$E$106,3,FALSE())</f>
        <v>1</v>
      </c>
      <c r="M42" s="27" t="n">
        <f aca="false">VLOOKUP(D42,$C$102:$E$106,3,FALSE())</f>
        <v>1</v>
      </c>
      <c r="N42" s="58" t="str">
        <f aca="false">IF(L42=M42,"",'12.lan'!$D$240&amp;VLOOKUP(L42,$C$102:$D$106,2,FALSE())&amp;" ("&amp;L42&amp;")")</f>
        <v/>
      </c>
      <c r="O42" s="27" t="n">
        <f aca="false">C104</f>
        <v>1</v>
      </c>
    </row>
    <row r="43" customFormat="false" ht="30" hidden="false" customHeight="true" outlineLevel="0" collapsed="false">
      <c r="A43" s="29"/>
      <c r="B43" s="137" t="s">
        <v>62</v>
      </c>
      <c r="C43" s="137" t="str">
        <f aca="false">'12.lan'!D142</f>
        <v>Negative aspect: unfit working conditions</v>
      </c>
      <c r="D43" s="119"/>
      <c r="E43" s="127"/>
      <c r="F43" s="121" t="str">
        <f aca="false">'12.lan'!$D$330</f>
        <v>Introduce negative points between 0 and -200</v>
      </c>
      <c r="G43" s="122"/>
      <c r="H43" s="123" t="n">
        <v>0</v>
      </c>
      <c r="I43" s="124" t="n">
        <f aca="false">H43*J39/50</f>
        <v>0</v>
      </c>
      <c r="J43" s="124" t="n">
        <f aca="false">-200*J39/50</f>
        <v>-355.555555555556</v>
      </c>
    </row>
    <row r="44" customFormat="false" ht="33" hidden="false" customHeight="true" outlineLevel="0" collapsed="false">
      <c r="A44" s="29"/>
      <c r="B44" s="111" t="s">
        <v>63</v>
      </c>
      <c r="C44" s="112" t="str">
        <f aca="false">'12.lan'!D143</f>
        <v>Self-determined working arrangements</v>
      </c>
      <c r="D44" s="113" t="n">
        <f aca="false">IF(K44="trifft nicht zu",C106,'9. Weighting'!N30)</f>
        <v>1</v>
      </c>
      <c r="E44" s="131" t="str">
        <f aca="false">VLOOKUP(D44,$C$102:$D$106,2,FALSE())</f>
        <v>medium</v>
      </c>
      <c r="F44" s="125" t="n">
        <f aca="false">IF(K44="trifft nicht zu","trifft nicht zu",'9. Weighting'!N30)</f>
        <v>1</v>
      </c>
      <c r="G44" s="126"/>
      <c r="H44" s="116" t="n">
        <f aca="false">IF(J44&lt;&gt;0,ROUND(SUM(I45:I48)/J44,1),"-")</f>
        <v>0.2</v>
      </c>
      <c r="I44" s="117" t="n">
        <f aca="false">IF(J44=0,0,H44*J44)</f>
        <v>17.7777777777778</v>
      </c>
      <c r="J44" s="117" t="n">
        <f aca="false">'9. Weighting'!N29</f>
        <v>88.8888888888889</v>
      </c>
      <c r="K44" s="27" t="str">
        <f aca="false">IF(AND(D45="trifft nicht zu",D46="trifft nicht zu",,D47="trifft nicht zu"),"trifft nicht zu","")</f>
        <v/>
      </c>
      <c r="L44" s="27" t="n">
        <f aca="false">VLOOKUP(O44,$C$102:$E$106,3,FALSE())</f>
        <v>1</v>
      </c>
      <c r="M44" s="27" t="n">
        <f aca="false">VLOOKUP(D44,$C$102:$E$106,3,FALSE())</f>
        <v>1</v>
      </c>
      <c r="N44" s="58" t="str">
        <f aca="false">IF(L44=M44,"",'12.lan'!$D$240&amp;VLOOKUP(L44,$C$102:$D$106,2,FALSE())&amp;" ("&amp;L44&amp;")")</f>
        <v/>
      </c>
      <c r="O44" s="27" t="n">
        <f aca="false">IF(K44="trifft nicht zu",C106,'9. Weighting'!N30)</f>
        <v>1</v>
      </c>
    </row>
    <row r="45" customFormat="false" ht="30" hidden="false" customHeight="true" outlineLevel="0" collapsed="false">
      <c r="A45" s="29"/>
      <c r="B45" s="133" t="s">
        <v>64</v>
      </c>
      <c r="C45" s="118" t="str">
        <f aca="false">'12.lan'!D144</f>
        <v>Pay structure</v>
      </c>
      <c r="D45" s="119" t="n">
        <f aca="false">C104</f>
        <v>1</v>
      </c>
      <c r="E45" s="127" t="str">
        <f aca="false">VLOOKUP(D45,$C$102:$D$106,2,FALSE())</f>
        <v>medium</v>
      </c>
      <c r="F45" s="121" t="str">
        <f aca="false">'12.lan'!$D$329</f>
        <v>Introduce value between 0 and 10</v>
      </c>
      <c r="G45" s="122"/>
      <c r="H45" s="123" t="n">
        <v>1</v>
      </c>
      <c r="I45" s="124" t="n">
        <f aca="false">IFERROR(J45*H45/10,0)</f>
        <v>2.96296296296296</v>
      </c>
      <c r="J45" s="124" t="n">
        <f aca="false">IFERROR($J$44*K45/(SUM($K$45:$K$47)),0)</f>
        <v>29.6296296296296</v>
      </c>
      <c r="K45" s="27" t="n">
        <f aca="false">VLOOKUP(D45,$C$102:$E$106,3,FALSE())</f>
        <v>1</v>
      </c>
      <c r="L45" s="27" t="n">
        <f aca="false">VLOOKUP(O45,$C$102:$E$106,3,FALSE())</f>
        <v>1</v>
      </c>
      <c r="M45" s="27" t="n">
        <f aca="false">VLOOKUP(D45,$C$102:$E$106,3,FALSE())</f>
        <v>1</v>
      </c>
      <c r="N45" s="58" t="str">
        <f aca="false">IF(L45=M45,"",'12.lan'!$D$240&amp;VLOOKUP(L45,$C$102:$D$106,2,FALSE())&amp;" ("&amp;L45&amp;")")</f>
        <v/>
      </c>
      <c r="O45" s="27" t="n">
        <f aca="false">C104</f>
        <v>1</v>
      </c>
    </row>
    <row r="46" customFormat="false" ht="30" hidden="false" customHeight="true" outlineLevel="0" collapsed="false">
      <c r="A46" s="29"/>
      <c r="B46" s="38" t="s">
        <v>65</v>
      </c>
      <c r="C46" s="48" t="str">
        <f aca="false">'12.lan'!D145</f>
        <v>Structuring working time</v>
      </c>
      <c r="D46" s="119" t="n">
        <f aca="false">C104</f>
        <v>1</v>
      </c>
      <c r="E46" s="127" t="str">
        <f aca="false">VLOOKUP(D46,$C$102:$D$106,2,FALSE())</f>
        <v>medium</v>
      </c>
      <c r="F46" s="121" t="str">
        <f aca="false">'12.lan'!$D$329</f>
        <v>Introduce value between 0 and 10</v>
      </c>
      <c r="G46" s="122"/>
      <c r="H46" s="123" t="n">
        <v>2</v>
      </c>
      <c r="I46" s="124" t="n">
        <f aca="false">IFERROR(J46*H46/10,0)</f>
        <v>5.92592592592593</v>
      </c>
      <c r="J46" s="124" t="n">
        <f aca="false">IFERROR($J$44*K46/(SUM($K$45:$K$47)),0)</f>
        <v>29.6296296296296</v>
      </c>
      <c r="K46" s="27" t="n">
        <f aca="false">VLOOKUP(D46,$C$102:$E$106,3,FALSE())</f>
        <v>1</v>
      </c>
      <c r="L46" s="27" t="n">
        <f aca="false">VLOOKUP(O46,$C$102:$E$106,3,FALSE())</f>
        <v>1</v>
      </c>
      <c r="M46" s="27" t="n">
        <f aca="false">VLOOKUP(D46,$C$102:$E$106,3,FALSE())</f>
        <v>1</v>
      </c>
      <c r="N46" s="58" t="str">
        <f aca="false">IF(L46=M46,"",'12.lan'!$D$240&amp;VLOOKUP(L46,$C$102:$D$106,2,FALSE())&amp;" ("&amp;L46&amp;")")</f>
        <v/>
      </c>
      <c r="O46" s="27" t="n">
        <f aca="false">C104</f>
        <v>1</v>
      </c>
    </row>
    <row r="47" customFormat="false" ht="33" hidden="false" customHeight="true" outlineLevel="0" collapsed="false">
      <c r="A47" s="29"/>
      <c r="B47" s="138" t="s">
        <v>66</v>
      </c>
      <c r="C47" s="137" t="str">
        <f aca="false">'12.lan'!D146</f>
        <v>Employment structure and work-life balance</v>
      </c>
      <c r="D47" s="119" t="n">
        <f aca="false">C104</f>
        <v>1</v>
      </c>
      <c r="E47" s="127" t="str">
        <f aca="false">VLOOKUP(D47,$C$102:$D$106,2,FALSE())</f>
        <v>medium</v>
      </c>
      <c r="F47" s="121" t="str">
        <f aca="false">'12.lan'!$D$329</f>
        <v>Introduce value between 0 and 10</v>
      </c>
      <c r="G47" s="122"/>
      <c r="H47" s="123" t="n">
        <v>3</v>
      </c>
      <c r="I47" s="124" t="n">
        <f aca="false">IFERROR(J47*H47/10,0)</f>
        <v>8.88888888888889</v>
      </c>
      <c r="J47" s="124" t="n">
        <f aca="false">IFERROR($J$44*K47/(SUM($K$45:$K$47)),0)</f>
        <v>29.6296296296296</v>
      </c>
      <c r="K47" s="27" t="n">
        <f aca="false">VLOOKUP(D47,$C$102:$E$106,3,FALSE())</f>
        <v>1</v>
      </c>
      <c r="L47" s="27" t="n">
        <f aca="false">VLOOKUP(O47,$C$102:$E$106,3,FALSE())</f>
        <v>1</v>
      </c>
      <c r="M47" s="27" t="n">
        <f aca="false">VLOOKUP(D47,$C$102:$E$106,3,FALSE())</f>
        <v>1</v>
      </c>
      <c r="N47" s="58" t="str">
        <f aca="false">IF(L47=M47,"",'12.lan'!$D$240&amp;VLOOKUP(L47,$C$102:$D$106,2,FALSE())&amp;" ("&amp;L47&amp;")")</f>
        <v/>
      </c>
      <c r="O47" s="27" t="n">
        <f aca="false">C104</f>
        <v>1</v>
      </c>
    </row>
    <row r="48" customFormat="false" ht="33" hidden="false" customHeight="true" outlineLevel="0" collapsed="false">
      <c r="A48" s="29"/>
      <c r="B48" s="138" t="s">
        <v>67</v>
      </c>
      <c r="C48" s="137" t="str">
        <f aca="false">'12.lan'!D147</f>
        <v>Negative aspect: unfair employment contracts</v>
      </c>
      <c r="D48" s="119"/>
      <c r="E48" s="127"/>
      <c r="F48" s="121" t="str">
        <f aca="false">'12.lan'!$D$330</f>
        <v>Introduce negative points between 0 and -200</v>
      </c>
      <c r="G48" s="122"/>
      <c r="H48" s="123" t="n">
        <v>0</v>
      </c>
      <c r="I48" s="124" t="n">
        <f aca="false">H48*J44/50</f>
        <v>0</v>
      </c>
      <c r="J48" s="124" t="n">
        <f aca="false">-200*J44/50</f>
        <v>-355.555555555556</v>
      </c>
    </row>
    <row r="49" customFormat="false" ht="33" hidden="false" customHeight="true" outlineLevel="0" collapsed="false">
      <c r="A49" s="29"/>
      <c r="B49" s="111" t="s">
        <v>68</v>
      </c>
      <c r="C49" s="112" t="str">
        <f aca="false">'12.lan'!D148</f>
        <v>Environmentally-friendly behaviour of staff</v>
      </c>
      <c r="D49" s="113" t="n">
        <v>1</v>
      </c>
      <c r="E49" s="131" t="str">
        <f aca="false">VLOOKUP(D49,$C$102:$D$106,2,FALSE())</f>
        <v>medium</v>
      </c>
      <c r="F49" s="125" t="n">
        <f aca="false">IF(K49="trifft nicht zu","trifft nicht zu",'9. Weighting'!O30)</f>
        <v>1</v>
      </c>
      <c r="G49" s="126"/>
      <c r="H49" s="116" t="n">
        <f aca="false">IF(J49&lt;&gt;0,ROUND(SUM(I50:I53)/J49,1),"-")</f>
        <v>0.2</v>
      </c>
      <c r="I49" s="117" t="n">
        <f aca="false">IF(J49=0,0,H49*J49)</f>
        <v>17.7777777777778</v>
      </c>
      <c r="J49" s="117" t="n">
        <f aca="false">'9. Weighting'!O29</f>
        <v>88.8888888888889</v>
      </c>
      <c r="K49" s="27" t="str">
        <f aca="false">IF(AND(D50="trifft nicht zu",D51="trifft nicht zu",,D52="trifft nicht zu"),"trifft nicht zu","")</f>
        <v/>
      </c>
      <c r="L49" s="27" t="n">
        <f aca="false">VLOOKUP(O49,$C$102:$E$106,3,FALSE())</f>
        <v>1</v>
      </c>
      <c r="M49" s="27" t="n">
        <f aca="false">VLOOKUP(D49,$C$102:$E$106,3,FALSE())</f>
        <v>1</v>
      </c>
      <c r="N49" s="58" t="str">
        <f aca="false">IF(L49=M49,"",'12.lan'!$D$240&amp;VLOOKUP(L49,$C$102:$D$106,2,FALSE())&amp;" ("&amp;L49&amp;")")</f>
        <v/>
      </c>
      <c r="O49" s="27" t="n">
        <f aca="false">IF(K49="trifft nicht zu",C106,'9. Weighting'!O30)</f>
        <v>1</v>
      </c>
    </row>
    <row r="50" customFormat="false" ht="30" hidden="false" customHeight="true" outlineLevel="0" collapsed="false">
      <c r="A50" s="29"/>
      <c r="B50" s="133" t="s">
        <v>69</v>
      </c>
      <c r="C50" s="118" t="str">
        <f aca="false">'12.lan'!D149</f>
        <v>Food during working hours</v>
      </c>
      <c r="D50" s="119" t="n">
        <f aca="false">C104</f>
        <v>1</v>
      </c>
      <c r="E50" s="127" t="str">
        <f aca="false">VLOOKUP(D50,$C$102:$D$106,2,FALSE())</f>
        <v>medium</v>
      </c>
      <c r="F50" s="121" t="str">
        <f aca="false">'12.lan'!$D$329</f>
        <v>Introduce value between 0 and 10</v>
      </c>
      <c r="G50" s="122"/>
      <c r="H50" s="123" t="n">
        <v>1</v>
      </c>
      <c r="I50" s="124" t="n">
        <f aca="false">IFERROR(J50*H50/10,0)</f>
        <v>2.96296296296296</v>
      </c>
      <c r="J50" s="124" t="n">
        <f aca="false">IFERROR($J$49*K50/(SUM($K$50:$K$52)),0)</f>
        <v>29.6296296296296</v>
      </c>
      <c r="K50" s="27" t="n">
        <f aca="false">VLOOKUP(D50,$C$102:$E$106,3,FALSE())</f>
        <v>1</v>
      </c>
      <c r="L50" s="27" t="n">
        <f aca="false">VLOOKUP(O50,$C$102:$E$106,3,FALSE())</f>
        <v>1</v>
      </c>
      <c r="M50" s="27" t="n">
        <f aca="false">VLOOKUP(D50,$C$102:$E$106,3,FALSE())</f>
        <v>1</v>
      </c>
      <c r="N50" s="58" t="str">
        <f aca="false">IF(L50=M50,"",'12.lan'!$D$240&amp;VLOOKUP(L50,$C$102:$D$106,2,FALSE())&amp;" ("&amp;L50&amp;")")</f>
        <v/>
      </c>
      <c r="O50" s="27" t="n">
        <f aca="false">C104</f>
        <v>1</v>
      </c>
    </row>
    <row r="51" customFormat="false" ht="30" hidden="false" customHeight="true" outlineLevel="0" collapsed="false">
      <c r="A51" s="29"/>
      <c r="B51" s="38" t="s">
        <v>70</v>
      </c>
      <c r="C51" s="48" t="str">
        <f aca="false">'12.lan'!D150</f>
        <v>Travel to work</v>
      </c>
      <c r="D51" s="119" t="n">
        <f aca="false">C104</f>
        <v>1</v>
      </c>
      <c r="E51" s="127" t="str">
        <f aca="false">VLOOKUP(D51,$C$102:$D$106,2,FALSE())</f>
        <v>medium</v>
      </c>
      <c r="F51" s="121" t="str">
        <f aca="false">'12.lan'!$D$329</f>
        <v>Introduce value between 0 and 10</v>
      </c>
      <c r="G51" s="122"/>
      <c r="H51" s="123" t="n">
        <v>2</v>
      </c>
      <c r="I51" s="124" t="n">
        <f aca="false">IFERROR(J51*H51/10,0)</f>
        <v>5.92592592592593</v>
      </c>
      <c r="J51" s="124" t="n">
        <f aca="false">IFERROR($J$49*K51/(SUM($K$50:$K$52)),0)</f>
        <v>29.6296296296296</v>
      </c>
      <c r="K51" s="27" t="n">
        <f aca="false">VLOOKUP(D51,$C$102:$E$106,3,FALSE())</f>
        <v>1</v>
      </c>
      <c r="L51" s="27" t="n">
        <f aca="false">VLOOKUP(O51,$C$102:$E$106,3,FALSE())</f>
        <v>1</v>
      </c>
      <c r="M51" s="27" t="n">
        <f aca="false">VLOOKUP(D51,$C$102:$E$106,3,FALSE())</f>
        <v>1</v>
      </c>
      <c r="N51" s="58" t="str">
        <f aca="false">IF(L51=M51,"",'12.lan'!$D$240&amp;VLOOKUP(L51,$C$102:$D$106,2,FALSE())&amp;" ("&amp;L51&amp;")")</f>
        <v/>
      </c>
      <c r="O51" s="27" t="n">
        <f aca="false">C104</f>
        <v>1</v>
      </c>
    </row>
    <row r="52" customFormat="false" ht="30" hidden="false" customHeight="true" outlineLevel="0" collapsed="false">
      <c r="A52" s="29"/>
      <c r="B52" s="138" t="s">
        <v>71</v>
      </c>
      <c r="C52" s="137" t="str">
        <f aca="false">'12.lan'!D151</f>
        <v>Organisational culture, cultivating awareness for an environmentally-friendly approach</v>
      </c>
      <c r="D52" s="119" t="n">
        <f aca="false">C104</f>
        <v>1</v>
      </c>
      <c r="E52" s="127" t="str">
        <f aca="false">VLOOKUP(D52,$C$102:$D$106,2,FALSE())</f>
        <v>medium</v>
      </c>
      <c r="F52" s="121" t="str">
        <f aca="false">'12.lan'!$D$329</f>
        <v>Introduce value between 0 and 10</v>
      </c>
      <c r="G52" s="122"/>
      <c r="H52" s="123" t="n">
        <v>3</v>
      </c>
      <c r="I52" s="124" t="n">
        <f aca="false">IFERROR(J52*H52/10,0)</f>
        <v>8.88888888888889</v>
      </c>
      <c r="J52" s="124" t="n">
        <f aca="false">IFERROR($J$49*K52/(SUM($K$50:$K$52)),0)</f>
        <v>29.6296296296296</v>
      </c>
      <c r="K52" s="27" t="n">
        <f aca="false">VLOOKUP(D52,$C$102:$E$106,3,FALSE())</f>
        <v>1</v>
      </c>
      <c r="L52" s="27" t="n">
        <f aca="false">VLOOKUP(O52,$C$102:$E$106,3,FALSE())</f>
        <v>1</v>
      </c>
      <c r="M52" s="27" t="n">
        <f aca="false">VLOOKUP(D52,$C$102:$E$106,3,FALSE())</f>
        <v>1</v>
      </c>
      <c r="N52" s="58" t="str">
        <f aca="false">IF(L52=M52,"",'12.lan'!$D$240&amp;VLOOKUP(L52,$C$102:$D$106,2,FALSE())&amp;" ("&amp;L52&amp;")")</f>
        <v/>
      </c>
      <c r="O52" s="27" t="n">
        <f aca="false">C104</f>
        <v>1</v>
      </c>
    </row>
    <row r="53" customFormat="false" ht="33.75" hidden="false" customHeight="true" outlineLevel="0" collapsed="false">
      <c r="A53" s="29"/>
      <c r="B53" s="138" t="s">
        <v>72</v>
      </c>
      <c r="C53" s="137" t="str">
        <f aca="false">'12.lan'!D152</f>
        <v>Negative aspect: guidance on waste/ environmentally damaging practices</v>
      </c>
      <c r="D53" s="119"/>
      <c r="E53" s="127"/>
      <c r="F53" s="121" t="str">
        <f aca="false">'12.lan'!$D$330</f>
        <v>Introduce negative points between 0 and -200</v>
      </c>
      <c r="G53" s="122"/>
      <c r="H53" s="123" t="n">
        <v>0</v>
      </c>
      <c r="I53" s="124" t="n">
        <f aca="false">H53*J49/50</f>
        <v>0</v>
      </c>
      <c r="J53" s="124" t="n">
        <f aca="false">-200*J49/50</f>
        <v>-355.555555555556</v>
      </c>
    </row>
    <row r="54" customFormat="false" ht="33" hidden="false" customHeight="true" outlineLevel="0" collapsed="false">
      <c r="A54" s="29"/>
      <c r="B54" s="111" t="s">
        <v>73</v>
      </c>
      <c r="C54" s="112" t="str">
        <f aca="false">'12.lan'!D153</f>
        <v>Co-determination and transparency within the organisation</v>
      </c>
      <c r="D54" s="113" t="n">
        <f aca="false">IF(K54="trifft nicht zu",C106,'9. Weighting'!P30)</f>
        <v>1</v>
      </c>
      <c r="E54" s="131" t="str">
        <f aca="false">VLOOKUP(D54,$C$102:$D$106,2,FALSE())</f>
        <v>medium</v>
      </c>
      <c r="F54" s="125" t="n">
        <f aca="false">IF(K54="trifft nicht zu","trifft nicht zu",'9. Weighting'!P30)</f>
        <v>1</v>
      </c>
      <c r="G54" s="126"/>
      <c r="H54" s="116" t="n">
        <f aca="false">IF(J54&lt;&gt;0,ROUND(SUM(I55:I58)/J54,1),"-")</f>
        <v>0.2</v>
      </c>
      <c r="I54" s="117" t="n">
        <f aca="false">IF(J54=0,0,H54*J54)</f>
        <v>17.7777777777778</v>
      </c>
      <c r="J54" s="117" t="n">
        <f aca="false">'9. Weighting'!P29</f>
        <v>88.8888888888889</v>
      </c>
      <c r="K54" s="27" t="str">
        <f aca="false">IF(AND(D55="trifft nicht zu",D56="trifft nicht zu",,D57="trifft nicht zu"),"trifft nicht zu","")</f>
        <v/>
      </c>
      <c r="L54" s="27" t="n">
        <f aca="false">VLOOKUP(O54,$C$102:$E$106,3,FALSE())</f>
        <v>1</v>
      </c>
      <c r="M54" s="27" t="n">
        <f aca="false">VLOOKUP(D54,$C$102:$E$106,3,FALSE())</f>
        <v>1</v>
      </c>
      <c r="N54" s="58" t="str">
        <f aca="false">IF(L54=M54,"",'12.lan'!$D$240&amp;VLOOKUP(L54,$C$102:$D$106,2,FALSE())&amp;" ("&amp;L54&amp;")")</f>
        <v/>
      </c>
      <c r="O54" s="27" t="n">
        <f aca="false">IF(K54="trifft nicht zu",C106,'9. Weighting'!P30)</f>
        <v>1</v>
      </c>
    </row>
    <row r="55" customFormat="false" ht="30" hidden="false" customHeight="true" outlineLevel="0" collapsed="false">
      <c r="A55" s="29"/>
      <c r="B55" s="133" t="s">
        <v>74</v>
      </c>
      <c r="C55" s="118" t="str">
        <f aca="false">'12.lan'!D154</f>
        <v>Transparency within the organisation</v>
      </c>
      <c r="D55" s="119" t="n">
        <f aca="false">C104</f>
        <v>1</v>
      </c>
      <c r="E55" s="127" t="str">
        <f aca="false">VLOOKUP(D55,$C$102:$D$106,2,FALSE())</f>
        <v>medium</v>
      </c>
      <c r="F55" s="121" t="str">
        <f aca="false">'12.lan'!$D$329</f>
        <v>Introduce value between 0 and 10</v>
      </c>
      <c r="G55" s="122"/>
      <c r="H55" s="123" t="n">
        <v>1</v>
      </c>
      <c r="I55" s="124" t="n">
        <f aca="false">IFERROR(J55*H55/10,0)</f>
        <v>2.96296296296296</v>
      </c>
      <c r="J55" s="124" t="n">
        <f aca="false">IFERROR($J$54*K55/(SUM($K$55:$K$57)),0)</f>
        <v>29.6296296296296</v>
      </c>
      <c r="K55" s="27" t="n">
        <f aca="false">VLOOKUP(D55,$C$102:$E$106,3,FALSE())</f>
        <v>1</v>
      </c>
      <c r="L55" s="27" t="n">
        <f aca="false">VLOOKUP(O55,$C$102:$E$106,3,FALSE())</f>
        <v>1</v>
      </c>
      <c r="M55" s="27" t="n">
        <f aca="false">VLOOKUP(D55,$C$102:$E$106,3,FALSE())</f>
        <v>1</v>
      </c>
      <c r="N55" s="58" t="str">
        <f aca="false">IF(L55=M55,"",'12.lan'!$D$240&amp;VLOOKUP(L55,$C$102:$D$106,2,FALSE())&amp;" ("&amp;L55&amp;")")</f>
        <v/>
      </c>
      <c r="O55" s="27" t="n">
        <f aca="false">C104</f>
        <v>1</v>
      </c>
    </row>
    <row r="56" customFormat="false" ht="30" hidden="false" customHeight="true" outlineLevel="0" collapsed="false">
      <c r="A56" s="29"/>
      <c r="B56" s="38" t="s">
        <v>75</v>
      </c>
      <c r="C56" s="48" t="str">
        <f aca="false">'12.lan'!D155</f>
        <v>Legitimation of the management</v>
      </c>
      <c r="D56" s="119" t="n">
        <f aca="false">C104</f>
        <v>1</v>
      </c>
      <c r="E56" s="127" t="str">
        <f aca="false">VLOOKUP(D56,$C$102:$D$106,2,FALSE())</f>
        <v>medium</v>
      </c>
      <c r="F56" s="121" t="str">
        <f aca="false">'12.lan'!$D$329</f>
        <v>Introduce value between 0 and 10</v>
      </c>
      <c r="G56" s="122"/>
      <c r="H56" s="123" t="n">
        <v>2</v>
      </c>
      <c r="I56" s="124" t="n">
        <f aca="false">IFERROR(J56*H56/10,0)</f>
        <v>5.92592592592593</v>
      </c>
      <c r="J56" s="124" t="n">
        <f aca="false">IFERROR($J$54*K56/(SUM($K$55:$K$57)),0)</f>
        <v>29.6296296296296</v>
      </c>
      <c r="K56" s="27" t="n">
        <f aca="false">VLOOKUP(D56,$C$102:$E$106,3,FALSE())</f>
        <v>1</v>
      </c>
      <c r="L56" s="27" t="n">
        <f aca="false">VLOOKUP(O56,$C$102:$E$106,3,FALSE())</f>
        <v>1</v>
      </c>
      <c r="M56" s="27" t="n">
        <f aca="false">VLOOKUP(D56,$C$102:$E$106,3,FALSE())</f>
        <v>1</v>
      </c>
      <c r="N56" s="58" t="str">
        <f aca="false">IF(L56=M56,"",'12.lan'!$D$240&amp;VLOOKUP(L56,$C$102:$D$106,2,FALSE())&amp;" ("&amp;L56&amp;")")</f>
        <v/>
      </c>
      <c r="O56" s="27" t="n">
        <f aca="false">C104</f>
        <v>1</v>
      </c>
    </row>
    <row r="57" customFormat="false" ht="30" hidden="false" customHeight="true" outlineLevel="0" collapsed="false">
      <c r="A57" s="29"/>
      <c r="B57" s="38" t="s">
        <v>76</v>
      </c>
      <c r="C57" s="48" t="str">
        <f aca="false">'12.lan'!D156</f>
        <v>Employee co-determination</v>
      </c>
      <c r="D57" s="119" t="n">
        <f aca="false">C104</f>
        <v>1</v>
      </c>
      <c r="E57" s="127" t="str">
        <f aca="false">VLOOKUP(D57,$C$102:$D$106,2,FALSE())</f>
        <v>medium</v>
      </c>
      <c r="F57" s="121" t="str">
        <f aca="false">'12.lan'!$D$329</f>
        <v>Introduce value between 0 and 10</v>
      </c>
      <c r="G57" s="122"/>
      <c r="H57" s="123" t="n">
        <v>3</v>
      </c>
      <c r="I57" s="124" t="n">
        <f aca="false">IFERROR(J57*H57/10,0)</f>
        <v>8.88888888888889</v>
      </c>
      <c r="J57" s="124" t="n">
        <f aca="false">IFERROR($J$54*K57/(SUM($K$55:$K$57)),0)</f>
        <v>29.6296296296296</v>
      </c>
      <c r="K57" s="27" t="n">
        <f aca="false">VLOOKUP(D57,$C$102:$E$106,3,FALSE())</f>
        <v>1</v>
      </c>
      <c r="L57" s="27" t="n">
        <f aca="false">VLOOKUP(O57,$C$102:$E$106,3,FALSE())</f>
        <v>1</v>
      </c>
      <c r="M57" s="27" t="n">
        <f aca="false">VLOOKUP(D57,$C$102:$E$106,3,FALSE())</f>
        <v>1</v>
      </c>
      <c r="N57" s="58" t="str">
        <f aca="false">IF(L57=M57,"",'12.lan'!$D$240&amp;VLOOKUP(L57,$C$102:$D$106,2,FALSE())&amp;" ("&amp;L57&amp;")")</f>
        <v/>
      </c>
      <c r="O57" s="27" t="n">
        <f aca="false">C104</f>
        <v>1</v>
      </c>
    </row>
    <row r="58" customFormat="false" ht="30" hidden="false" customHeight="true" outlineLevel="0" collapsed="false">
      <c r="A58" s="29"/>
      <c r="B58" s="139" t="s">
        <v>77</v>
      </c>
      <c r="C58" s="140" t="str">
        <f aca="false">'12.lan'!D157</f>
        <v>Negative aspect: obstruction of works councils</v>
      </c>
      <c r="D58" s="119"/>
      <c r="E58" s="127"/>
      <c r="F58" s="121" t="str">
        <f aca="false">'12.lan'!$D$330</f>
        <v>Introduce negative points between 0 and -200</v>
      </c>
      <c r="G58" s="122"/>
      <c r="H58" s="123" t="n">
        <v>0</v>
      </c>
      <c r="I58" s="124" t="n">
        <f aca="false">H58*J54/50</f>
        <v>0</v>
      </c>
      <c r="J58" s="124" t="n">
        <f aca="false">-200*J54/50</f>
        <v>-355.555555555556</v>
      </c>
    </row>
    <row r="59" customFormat="false" ht="36" hidden="false" customHeight="true" outlineLevel="0" collapsed="false">
      <c r="A59" s="29"/>
      <c r="B59" s="104" t="s">
        <v>78</v>
      </c>
      <c r="C59" s="104" t="str">
        <f aca="false">'12.lan'!D158</f>
        <v>Customers and other companies</v>
      </c>
      <c r="D59" s="128" t="n">
        <f aca="false">L59</f>
        <v>1</v>
      </c>
      <c r="E59" s="129" t="str">
        <f aca="false">VLOOKUP(D59,$C$102:$D$106,2,FALSE())</f>
        <v>medium</v>
      </c>
      <c r="F59" s="130"/>
      <c r="G59" s="130"/>
      <c r="H59" s="108" t="n">
        <f aca="false">IFERROR(I59/J59,0)</f>
        <v>0.1</v>
      </c>
      <c r="I59" s="109" t="n">
        <f aca="false">I60+I64+I68+I72</f>
        <v>17.7777777777778</v>
      </c>
      <c r="J59" s="109" t="n">
        <f aca="false">J60+J64+J68+J72</f>
        <v>177.777777777778</v>
      </c>
      <c r="L59" s="27" t="n">
        <f aca="false">'9. Weighting'!K52</f>
        <v>1</v>
      </c>
      <c r="N59" s="110" t="str">
        <f aca="false">IF(D59&lt;&gt;L59,'12.lan'!$D$240&amp;VLOOKUP(L59,$C$102:$D$106,2,FALSE())&amp;" ("&amp;L59&amp;")","")</f>
        <v/>
      </c>
    </row>
    <row r="60" customFormat="false" ht="33" hidden="false" customHeight="true" outlineLevel="0" collapsed="false">
      <c r="A60" s="29"/>
      <c r="B60" s="111" t="s">
        <v>79</v>
      </c>
      <c r="C60" s="112" t="str">
        <f aca="false">'12.lan'!D159</f>
        <v>Ethical customer relations</v>
      </c>
      <c r="D60" s="113" t="n">
        <f aca="false">IF(K60="trifft nicht zu",C106,'9. Weighting'!M37)</f>
        <v>1</v>
      </c>
      <c r="E60" s="131" t="str">
        <f aca="false">VLOOKUP(D60,$C$102:$D$106,2,FALSE())</f>
        <v>medium</v>
      </c>
      <c r="F60" s="125" t="n">
        <f aca="false">IF(K60="trifft nicht zu","trifft nicht zu",'9. Weighting'!M37)</f>
        <v>1</v>
      </c>
      <c r="G60" s="126"/>
      <c r="H60" s="116" t="n">
        <f aca="false">IF(J60&lt;&gt;0,ROUND(SUM(I61:I63)/J60,1),"-")</f>
        <v>0</v>
      </c>
      <c r="I60" s="117" t="n">
        <f aca="false">IF(J60=0,0,H60*J60)</f>
        <v>0</v>
      </c>
      <c r="J60" s="117" t="n">
        <f aca="false">'9. Weighting'!M36</f>
        <v>44.4444444444444</v>
      </c>
      <c r="K60" s="27" t="str">
        <f aca="false">IF(AND(D61="trifft nicht zu",D62="trifft nicht zu"),"trifft nicht zu","")</f>
        <v/>
      </c>
      <c r="L60" s="27" t="n">
        <f aca="false">VLOOKUP(O60,$C$102:$E$106,3,FALSE())</f>
        <v>1</v>
      </c>
      <c r="M60" s="27" t="n">
        <f aca="false">VLOOKUP(D60,$C$102:$E$106,3,FALSE())</f>
        <v>1</v>
      </c>
      <c r="N60" s="58" t="str">
        <f aca="false">IF(L60=M60,"",'12.lan'!$D$240&amp;VLOOKUP(L60,$C$102:$D$106,2,FALSE())&amp;" ("&amp;L60&amp;")")</f>
        <v/>
      </c>
      <c r="O60" s="27" t="n">
        <f aca="false">IF(K60="trifft nicht zu",C106,'9. Weighting'!M37)</f>
        <v>1</v>
      </c>
    </row>
    <row r="61" customFormat="false" ht="30" hidden="false" customHeight="true" outlineLevel="0" collapsed="false">
      <c r="A61" s="29"/>
      <c r="B61" s="118" t="s">
        <v>80</v>
      </c>
      <c r="C61" s="118" t="str">
        <f aca="false">'12.lan'!D160</f>
        <v>Respect for human dignity in communication with customers</v>
      </c>
      <c r="D61" s="119" t="n">
        <f aca="false">C104</f>
        <v>1</v>
      </c>
      <c r="E61" s="127" t="str">
        <f aca="false">VLOOKUP(D61,$C$102:$D$106,2,FALSE())</f>
        <v>medium</v>
      </c>
      <c r="F61" s="121" t="str">
        <f aca="false">'12.lan'!$D$329</f>
        <v>Introduce value between 0 and 10</v>
      </c>
      <c r="G61" s="122"/>
      <c r="H61" s="123" t="n">
        <v>0</v>
      </c>
      <c r="I61" s="124" t="n">
        <f aca="false">IFERROR(J61*H61/10,0)</f>
        <v>0</v>
      </c>
      <c r="J61" s="124" t="n">
        <f aca="false">IFERROR($J$60*K61/(SUM($K$61:$K$62)),0)</f>
        <v>22.2222222222222</v>
      </c>
      <c r="K61" s="27" t="n">
        <f aca="false">VLOOKUP(D61,$C$102:$E$106,3,FALSE())</f>
        <v>1</v>
      </c>
      <c r="L61" s="27" t="n">
        <f aca="false">VLOOKUP(O61,$C$102:$E$106,3,FALSE())</f>
        <v>1</v>
      </c>
      <c r="M61" s="27" t="n">
        <f aca="false">VLOOKUP(D61,$C$102:$E$106,3,FALSE())</f>
        <v>1</v>
      </c>
      <c r="N61" s="58" t="str">
        <f aca="false">IF(L61=M61,"",'12.lan'!$D$240&amp;VLOOKUP(L61,$C$102:$D$106,2,FALSE())&amp;" ("&amp;L61&amp;")")</f>
        <v/>
      </c>
      <c r="O61" s="27" t="n">
        <f aca="false">C104</f>
        <v>1</v>
      </c>
    </row>
    <row r="62" customFormat="false" ht="30" hidden="false" customHeight="true" outlineLevel="0" collapsed="false">
      <c r="A62" s="29"/>
      <c r="B62" s="38" t="s">
        <v>81</v>
      </c>
      <c r="C62" s="48" t="str">
        <f aca="false">'12.lan'!D161</f>
        <v>Barrier-free access</v>
      </c>
      <c r="D62" s="119" t="n">
        <f aca="false">C104</f>
        <v>1</v>
      </c>
      <c r="E62" s="127" t="str">
        <f aca="false">VLOOKUP(D62,$C$102:$D$106,2,FALSE())</f>
        <v>medium</v>
      </c>
      <c r="F62" s="121" t="str">
        <f aca="false">'12.lan'!$D$329</f>
        <v>Introduce value between 0 and 10</v>
      </c>
      <c r="G62" s="122"/>
      <c r="H62" s="123" t="n">
        <v>0</v>
      </c>
      <c r="I62" s="124" t="n">
        <f aca="false">IFERROR(J62*H62/10,0)</f>
        <v>0</v>
      </c>
      <c r="J62" s="124" t="n">
        <f aca="false">IFERROR($J$60*K62/(SUM($K$61:$K$62)),0)</f>
        <v>22.2222222222222</v>
      </c>
      <c r="K62" s="27" t="n">
        <f aca="false">VLOOKUP(D62,$C$102:$E$106,3,FALSE())</f>
        <v>1</v>
      </c>
      <c r="L62" s="27" t="n">
        <f aca="false">VLOOKUP(O62,$C$102:$E$106,3,FALSE())</f>
        <v>1</v>
      </c>
      <c r="M62" s="27" t="n">
        <f aca="false">VLOOKUP(D62,$C$102:$E$106,3,FALSE())</f>
        <v>1</v>
      </c>
      <c r="N62" s="58" t="str">
        <f aca="false">IF(L62=M62,"",'12.lan'!$D$240&amp;VLOOKUP(L62,$C$102:$D$106,2,FALSE())&amp;" ("&amp;L62&amp;")")</f>
        <v/>
      </c>
      <c r="O62" s="27" t="n">
        <f aca="false">C104</f>
        <v>1</v>
      </c>
    </row>
    <row r="63" customFormat="false" ht="30" hidden="false" customHeight="true" outlineLevel="0" collapsed="false">
      <c r="A63" s="29"/>
      <c r="B63" s="48" t="s">
        <v>82</v>
      </c>
      <c r="C63" s="48" t="str">
        <f aca="false">'12.lan'!D162</f>
        <v>Negative aspect: unethical advertising</v>
      </c>
      <c r="D63" s="119"/>
      <c r="E63" s="127"/>
      <c r="F63" s="121" t="str">
        <f aca="false">'12.lan'!$D$330</f>
        <v>Introduce negative points between 0 and -200</v>
      </c>
      <c r="G63" s="122"/>
      <c r="H63" s="123" t="n">
        <v>0</v>
      </c>
      <c r="I63" s="124" t="n">
        <f aca="false">H63*J60/50</f>
        <v>0</v>
      </c>
      <c r="J63" s="124" t="n">
        <f aca="false">-200*J60/50</f>
        <v>-177.777777777778</v>
      </c>
    </row>
    <row r="64" customFormat="false" ht="33" hidden="false" customHeight="true" outlineLevel="0" collapsed="false">
      <c r="A64" s="29"/>
      <c r="B64" s="111" t="s">
        <v>83</v>
      </c>
      <c r="C64" s="112" t="str">
        <f aca="false">'12.lan'!D163</f>
        <v>Cooperation and solidarity with other companies</v>
      </c>
      <c r="D64" s="113" t="n">
        <f aca="false">IF(K64="trifft nicht zu",C106,'9. Weighting'!N37)</f>
        <v>1</v>
      </c>
      <c r="E64" s="131" t="str">
        <f aca="false">VLOOKUP(D64,$C$102:$D$106,2,FALSE())</f>
        <v>medium</v>
      </c>
      <c r="F64" s="125" t="n">
        <f aca="false">IF(K64="trifft nicht zu","trifft nicht zu",'9. Weighting'!N37)</f>
        <v>1</v>
      </c>
      <c r="G64" s="126"/>
      <c r="H64" s="116" t="n">
        <f aca="false">IF(J64&lt;&gt;0,ROUND(SUM(I65:I67)/J64,1),"-")</f>
        <v>0.4</v>
      </c>
      <c r="I64" s="117" t="n">
        <f aca="false">IF(J64=0,0,H64*J64)</f>
        <v>17.7777777777778</v>
      </c>
      <c r="J64" s="117" t="n">
        <f aca="false">'9. Weighting'!N36</f>
        <v>44.4444444444444</v>
      </c>
      <c r="K64" s="27" t="str">
        <f aca="false">IF(AND(D65="trifft nicht zu",D66="trifft nicht zu"),"trifft nicht zu","")</f>
        <v/>
      </c>
      <c r="L64" s="27" t="n">
        <f aca="false">VLOOKUP(O64,$C$102:$E$106,3,FALSE())</f>
        <v>1</v>
      </c>
      <c r="M64" s="27" t="n">
        <f aca="false">VLOOKUP(D64,$C$102:$E$106,3,FALSE())</f>
        <v>1</v>
      </c>
      <c r="N64" s="58" t="str">
        <f aca="false">IF(L64=M64,"",'12.lan'!$D$240&amp;VLOOKUP(L64,$C$102:$D$106,2,FALSE())&amp;" ("&amp;L64&amp;")")</f>
        <v/>
      </c>
      <c r="O64" s="27" t="n">
        <f aca="false">IF(K64="trifft nicht zu",C106,'9. Weighting'!N37)</f>
        <v>1</v>
      </c>
    </row>
    <row r="65" customFormat="false" ht="30" hidden="false" customHeight="true" outlineLevel="0" collapsed="false">
      <c r="A65" s="29"/>
      <c r="B65" s="118" t="s">
        <v>84</v>
      </c>
      <c r="C65" s="118" t="str">
        <f aca="false">'12.lan'!D164</f>
        <v>Cooperation with other companies</v>
      </c>
      <c r="D65" s="119" t="n">
        <f aca="false">C104</f>
        <v>1</v>
      </c>
      <c r="E65" s="127" t="str">
        <f aca="false">VLOOKUP(D65,$C$102:$D$106,2,FALSE())</f>
        <v>medium</v>
      </c>
      <c r="F65" s="121" t="str">
        <f aca="false">'12.lan'!$D$329</f>
        <v>Introduce value between 0 and 10</v>
      </c>
      <c r="G65" s="122"/>
      <c r="H65" s="123" t="n">
        <v>2</v>
      </c>
      <c r="I65" s="124" t="n">
        <f aca="false">IFERROR(J65*H65/10,0)</f>
        <v>4.44444444444444</v>
      </c>
      <c r="J65" s="124" t="n">
        <f aca="false">IFERROR($J$64*K65/(SUM($K$65:$K$66)),0)</f>
        <v>22.2222222222222</v>
      </c>
      <c r="K65" s="27" t="n">
        <f aca="false">VLOOKUP(D65,$C$102:$E$106,3,FALSE())</f>
        <v>1</v>
      </c>
      <c r="L65" s="27" t="n">
        <f aca="false">VLOOKUP(O65,$C$102:$E$106,3,FALSE())</f>
        <v>1</v>
      </c>
      <c r="M65" s="27" t="n">
        <f aca="false">VLOOKUP(D65,$C$102:$E$106,3,FALSE())</f>
        <v>1</v>
      </c>
      <c r="N65" s="58" t="str">
        <f aca="false">IF(L65=M65,"",'12.lan'!$D$240&amp;VLOOKUP(L65,$C$102:$D$106,2,FALSE())&amp;" ("&amp;L65&amp;")")</f>
        <v/>
      </c>
      <c r="O65" s="27" t="n">
        <f aca="false">C104</f>
        <v>1</v>
      </c>
    </row>
    <row r="66" customFormat="false" ht="30" hidden="false" customHeight="true" outlineLevel="0" collapsed="false">
      <c r="A66" s="29"/>
      <c r="B66" s="48" t="s">
        <v>85</v>
      </c>
      <c r="C66" s="48" t="str">
        <f aca="false">'12.lan'!D165</f>
        <v>Solidarity with other companies</v>
      </c>
      <c r="D66" s="119" t="n">
        <f aca="false">C104</f>
        <v>1</v>
      </c>
      <c r="E66" s="127" t="str">
        <f aca="false">VLOOKUP(D66,$C$102:$D$106,2,FALSE())</f>
        <v>medium</v>
      </c>
      <c r="F66" s="121" t="str">
        <f aca="false">'12.lan'!$D$329</f>
        <v>Introduce value between 0 and 10</v>
      </c>
      <c r="G66" s="122"/>
      <c r="H66" s="123" t="n">
        <v>6</v>
      </c>
      <c r="I66" s="124" t="n">
        <f aca="false">IFERROR(J66*H66/10,0)</f>
        <v>13.3333333333333</v>
      </c>
      <c r="J66" s="124" t="n">
        <f aca="false">IFERROR($J$64*K66/(SUM($K$65:$K$66)),0)</f>
        <v>22.2222222222222</v>
      </c>
      <c r="K66" s="27" t="n">
        <f aca="false">VLOOKUP(D66,$C$102:$E$106,3,FALSE())</f>
        <v>1</v>
      </c>
      <c r="L66" s="27" t="n">
        <f aca="false">VLOOKUP(O66,$C$102:$E$106,3,FALSE())</f>
        <v>1</v>
      </c>
      <c r="M66" s="27" t="n">
        <f aca="false">VLOOKUP(D66,$C$102:$E$106,3,FALSE())</f>
        <v>1</v>
      </c>
      <c r="N66" s="58" t="str">
        <f aca="false">IF(L66=M66,"",'12.lan'!$D$240&amp;VLOOKUP(L66,$C$102:$D$106,2,FALSE())&amp;" ("&amp;L66&amp;")")</f>
        <v/>
      </c>
      <c r="O66" s="27" t="n">
        <f aca="false">C104</f>
        <v>1</v>
      </c>
    </row>
    <row r="67" customFormat="false" ht="33.75" hidden="false" customHeight="true" outlineLevel="0" collapsed="false">
      <c r="A67" s="29"/>
      <c r="B67" s="137" t="s">
        <v>86</v>
      </c>
      <c r="C67" s="137" t="str">
        <f aca="false">'12.lan'!D166</f>
        <v>Negative aspect: abuse of market power to the detriment of other companies</v>
      </c>
      <c r="D67" s="119"/>
      <c r="E67" s="127"/>
      <c r="F67" s="121" t="str">
        <f aca="false">'12.lan'!$D$330</f>
        <v>Introduce negative points between 0 and -200</v>
      </c>
      <c r="G67" s="141"/>
      <c r="H67" s="123" t="n">
        <v>0</v>
      </c>
      <c r="I67" s="124" t="n">
        <f aca="false">H67*J64/50</f>
        <v>0</v>
      </c>
      <c r="J67" s="124" t="n">
        <f aca="false">-200*J64/50</f>
        <v>-177.777777777778</v>
      </c>
    </row>
    <row r="68" customFormat="false" ht="36" hidden="false" customHeight="true" outlineLevel="0" collapsed="false">
      <c r="A68" s="29"/>
      <c r="B68" s="111" t="s">
        <v>87</v>
      </c>
      <c r="C68" s="142" t="str">
        <f aca="false">'12.lan'!D167</f>
        <v>Impact on the environment of the use and disposal of products and services</v>
      </c>
      <c r="D68" s="113" t="n">
        <f aca="false">IF(K68="trifft nicht zu",C106,'9. Weighting'!O37)</f>
        <v>1</v>
      </c>
      <c r="E68" s="131" t="str">
        <f aca="false">VLOOKUP(D68,$C$102:$D$106,2,FALSE())</f>
        <v>medium</v>
      </c>
      <c r="F68" s="125" t="n">
        <f aca="false">IF(K68="trifft nicht zu","trifft nicht zu",'9. Weighting'!O37)</f>
        <v>1</v>
      </c>
      <c r="G68" s="143"/>
      <c r="H68" s="116" t="n">
        <f aca="false">IF(J68&lt;&gt;0,ROUND(SUM(I69:I71)/J68,1),"-")</f>
        <v>0</v>
      </c>
      <c r="I68" s="117" t="n">
        <f aca="false">IF(J68=0,0,H68*J68)</f>
        <v>0</v>
      </c>
      <c r="J68" s="117" t="n">
        <f aca="false">'9. Weighting'!O36</f>
        <v>44.4444444444444</v>
      </c>
      <c r="K68" s="27" t="str">
        <f aca="false">IF(AND(D69="trifft nicht zu",D70="trifft nicht zu"),"trifft nicht zu","")</f>
        <v/>
      </c>
      <c r="L68" s="27" t="n">
        <f aca="false">VLOOKUP(O68,$C$102:$E$106,3,FALSE())</f>
        <v>1</v>
      </c>
      <c r="M68" s="27" t="n">
        <f aca="false">VLOOKUP(D68,$C$102:$E$106,3,FALSE())</f>
        <v>1</v>
      </c>
      <c r="N68" s="58" t="str">
        <f aca="false">IF(L68=M68,"",'12.lan'!$D$240&amp;VLOOKUP(L68,$C$102:$D$106,2,FALSE())&amp;" ("&amp;L68&amp;")")</f>
        <v/>
      </c>
      <c r="O68" s="27" t="n">
        <f aca="false">IF(K68="trifft nicht zu",C106,'9. Weighting'!O37)</f>
        <v>1</v>
      </c>
    </row>
    <row r="69" customFormat="false" ht="33.75" hidden="false" customHeight="true" outlineLevel="0" collapsed="false">
      <c r="A69" s="29"/>
      <c r="B69" s="118" t="s">
        <v>88</v>
      </c>
      <c r="C69" s="118" t="str">
        <f aca="false">'12.lan'!D168</f>
        <v>Environmental cost-benefit ration of products and services (efficiency and consistency)</v>
      </c>
      <c r="D69" s="119" t="n">
        <f aca="false">C104</f>
        <v>1</v>
      </c>
      <c r="E69" s="127" t="str">
        <f aca="false">VLOOKUP(D69,$C$102:$D$106,2,FALSE())</f>
        <v>medium</v>
      </c>
      <c r="F69" s="121" t="str">
        <f aca="false">'12.lan'!$D$329</f>
        <v>Introduce value between 0 and 10</v>
      </c>
      <c r="G69" s="122"/>
      <c r="H69" s="123" t="n">
        <v>0</v>
      </c>
      <c r="I69" s="124" t="n">
        <f aca="false">IFERROR(J69*H69/10,0)</f>
        <v>0</v>
      </c>
      <c r="J69" s="124" t="n">
        <f aca="false">IFERROR($J$68*K69/(SUM($K$69:$K$70)),0)</f>
        <v>22.2222222222222</v>
      </c>
      <c r="K69" s="27" t="n">
        <f aca="false">VLOOKUP(D69,$C$102:$E$106,3,FALSE())</f>
        <v>1</v>
      </c>
      <c r="L69" s="27" t="n">
        <f aca="false">VLOOKUP(O69,$C$102:$E$106,3,FALSE())</f>
        <v>1</v>
      </c>
      <c r="M69" s="27" t="n">
        <f aca="false">VLOOKUP(D69,$C$102:$E$106,3,FALSE())</f>
        <v>1</v>
      </c>
      <c r="N69" s="58" t="str">
        <f aca="false">IF(L69=M69,"",'12.lan'!$D$240&amp;VLOOKUP(L69,$C$102:$D$106,2,FALSE())&amp;" ("&amp;L69&amp;")")</f>
        <v/>
      </c>
      <c r="O69" s="27" t="n">
        <f aca="false">C104</f>
        <v>1</v>
      </c>
    </row>
    <row r="70" customFormat="false" ht="30" hidden="false" customHeight="true" outlineLevel="0" collapsed="false">
      <c r="A70" s="29"/>
      <c r="B70" s="48" t="s">
        <v>89</v>
      </c>
      <c r="C70" s="48" t="str">
        <f aca="false">'12.lan'!D169</f>
        <v>Moderate use of products and services (sufficiency)</v>
      </c>
      <c r="D70" s="119" t="n">
        <f aca="false">C104</f>
        <v>1</v>
      </c>
      <c r="E70" s="127" t="str">
        <f aca="false">VLOOKUP(D70,$C$102:$D$106,2,FALSE())</f>
        <v>medium</v>
      </c>
      <c r="F70" s="121" t="str">
        <f aca="false">'12.lan'!$D$329</f>
        <v>Introduce value between 0 and 10</v>
      </c>
      <c r="G70" s="122"/>
      <c r="H70" s="123" t="n">
        <v>0</v>
      </c>
      <c r="I70" s="124" t="n">
        <f aca="false">IFERROR(J70*H70/10,0)</f>
        <v>0</v>
      </c>
      <c r="J70" s="124" t="n">
        <f aca="false">IFERROR($J$68*K70/(SUM($K$69:$K$70)),0)</f>
        <v>22.2222222222222</v>
      </c>
      <c r="K70" s="27" t="n">
        <f aca="false">VLOOKUP(D70,$C$102:$E$106,3,FALSE())</f>
        <v>1</v>
      </c>
      <c r="L70" s="27" t="n">
        <f aca="false">VLOOKUP(O70,$C$102:$E$106,3,FALSE())</f>
        <v>1</v>
      </c>
      <c r="M70" s="27" t="n">
        <f aca="false">VLOOKUP(D70,$C$102:$E$106,3,FALSE())</f>
        <v>1</v>
      </c>
      <c r="N70" s="58" t="str">
        <f aca="false">IF(L70=M70,"",'12.lan'!$D$240&amp;VLOOKUP(L70,$C$102:$D$106,2,FALSE())&amp;" ("&amp;L70&amp;")")</f>
        <v/>
      </c>
      <c r="O70" s="27" t="n">
        <f aca="false">C104</f>
        <v>1</v>
      </c>
    </row>
    <row r="71" customFormat="false" ht="33" hidden="false" customHeight="true" outlineLevel="0" collapsed="false">
      <c r="A71" s="29"/>
      <c r="B71" s="137" t="s">
        <v>90</v>
      </c>
      <c r="C71" s="137" t="str">
        <f aca="false">'12.lan'!D170</f>
        <v>Negative aspect: wilful disregard of disproportionate environmental impacts</v>
      </c>
      <c r="D71" s="119"/>
      <c r="E71" s="127"/>
      <c r="F71" s="121" t="str">
        <f aca="false">'12.lan'!$D$330</f>
        <v>Introduce negative points between 0 and -200</v>
      </c>
      <c r="G71" s="122"/>
      <c r="H71" s="123" t="n">
        <v>0</v>
      </c>
      <c r="I71" s="124" t="n">
        <f aca="false">H71*J68/50</f>
        <v>0</v>
      </c>
      <c r="J71" s="124" t="n">
        <f aca="false">-200*J68/50</f>
        <v>-177.777777777778</v>
      </c>
    </row>
    <row r="72" customFormat="false" ht="33" hidden="false" customHeight="true" outlineLevel="0" collapsed="false">
      <c r="A72" s="29"/>
      <c r="B72" s="111" t="s">
        <v>91</v>
      </c>
      <c r="C72" s="112" t="str">
        <f aca="false">'12.lan'!D171</f>
        <v>Customer participation and product transparency</v>
      </c>
      <c r="D72" s="113" t="n">
        <f aca="false">IF(K72="trifft nicht zu",C106,'9. Weighting'!P37)</f>
        <v>1</v>
      </c>
      <c r="E72" s="131" t="str">
        <f aca="false">VLOOKUP(D72,$C$102:$D$106,2,FALSE())</f>
        <v>medium</v>
      </c>
      <c r="F72" s="125" t="n">
        <f aca="false">IF(K72="trifft nicht zu","trifft nicht zu",'9. Weighting'!P37)</f>
        <v>1</v>
      </c>
      <c r="G72" s="126"/>
      <c r="H72" s="116" t="n">
        <f aca="false">IF(J72&lt;&gt;0,ROUND(SUM(I73:I75)/J72,1),"-")</f>
        <v>0</v>
      </c>
      <c r="I72" s="117" t="n">
        <f aca="false">IF(J72=0,0,H72*J72)</f>
        <v>0</v>
      </c>
      <c r="J72" s="117" t="n">
        <f aca="false">'9. Weighting'!P36</f>
        <v>44.4444444444444</v>
      </c>
      <c r="K72" s="27" t="str">
        <f aca="false">IF(AND(D73="trifft nicht zu",D74="trifft nicht zu"),"trifft nicht zu","")</f>
        <v/>
      </c>
      <c r="L72" s="27" t="n">
        <f aca="false">VLOOKUP(O72,$C$102:$E$106,3,FALSE())</f>
        <v>1</v>
      </c>
      <c r="M72" s="27" t="n">
        <f aca="false">VLOOKUP(D72,$C$102:$E$106,3,FALSE())</f>
        <v>1</v>
      </c>
      <c r="N72" s="58" t="str">
        <f aca="false">IF(L72=M72,"",'12.lan'!$D$240&amp;VLOOKUP(L72,$C$102:$D$106,2,FALSE())&amp;" ("&amp;L72&amp;")")</f>
        <v/>
      </c>
      <c r="O72" s="27" t="n">
        <f aca="false">IF(K72="trifft nicht zu",C106,'9. Weighting'!P37)</f>
        <v>1</v>
      </c>
    </row>
    <row r="73" customFormat="false" ht="33.75" hidden="false" customHeight="true" outlineLevel="0" collapsed="false">
      <c r="A73" s="29"/>
      <c r="B73" s="118" t="s">
        <v>92</v>
      </c>
      <c r="C73" s="118" t="str">
        <f aca="false">'12.lan'!D172</f>
        <v>Customer participation, joint product development and market research</v>
      </c>
      <c r="D73" s="119" t="n">
        <f aca="false">C104</f>
        <v>1</v>
      </c>
      <c r="E73" s="127" t="str">
        <f aca="false">VLOOKUP(D73,$C$102:$D$106,2,FALSE())</f>
        <v>medium</v>
      </c>
      <c r="F73" s="121" t="str">
        <f aca="false">'12.lan'!$D$329</f>
        <v>Introduce value between 0 and 10</v>
      </c>
      <c r="G73" s="122"/>
      <c r="H73" s="123" t="n">
        <v>0</v>
      </c>
      <c r="I73" s="124" t="n">
        <f aca="false">IFERROR(J73*H73/10,0)</f>
        <v>0</v>
      </c>
      <c r="J73" s="124" t="n">
        <f aca="false">IFERROR($J$72*K73/(SUM($K$73:$K$74)),0)</f>
        <v>22.2222222222222</v>
      </c>
      <c r="K73" s="27" t="n">
        <f aca="false">VLOOKUP(D73,$C$102:$E$106,3,FALSE())</f>
        <v>1</v>
      </c>
      <c r="L73" s="27" t="n">
        <f aca="false">VLOOKUP(O73,$C$102:$E$106,3,FALSE())</f>
        <v>1</v>
      </c>
      <c r="M73" s="27" t="n">
        <f aca="false">VLOOKUP(D73,$C$102:$E$106,3,FALSE())</f>
        <v>1</v>
      </c>
      <c r="N73" s="58" t="str">
        <f aca="false">IF(L73=M73,"",'12.lan'!$D$240&amp;VLOOKUP(L73,$C$102:$D$106,2,FALSE())&amp;" ("&amp;L73&amp;")")</f>
        <v/>
      </c>
      <c r="O73" s="27" t="n">
        <f aca="false">C104</f>
        <v>1</v>
      </c>
    </row>
    <row r="74" customFormat="false" ht="30" hidden="false" customHeight="true" outlineLevel="0" collapsed="false">
      <c r="A74" s="29"/>
      <c r="B74" s="137" t="s">
        <v>93</v>
      </c>
      <c r="C74" s="137" t="str">
        <f aca="false">'12.lan'!D173</f>
        <v>Product transparency</v>
      </c>
      <c r="D74" s="119" t="n">
        <f aca="false">C104</f>
        <v>1</v>
      </c>
      <c r="E74" s="127" t="str">
        <f aca="false">VLOOKUP(D74,$C$102:$D$106,2,FALSE())</f>
        <v>medium</v>
      </c>
      <c r="F74" s="121" t="str">
        <f aca="false">'12.lan'!$D$329</f>
        <v>Introduce value between 0 and 10</v>
      </c>
      <c r="G74" s="122"/>
      <c r="H74" s="123" t="n">
        <v>0</v>
      </c>
      <c r="I74" s="124" t="n">
        <f aca="false">IFERROR(J74*H74/10,0)</f>
        <v>0</v>
      </c>
      <c r="J74" s="124" t="n">
        <f aca="false">IFERROR($J$72*K74/(SUM($K$73:$K$74)),0)</f>
        <v>22.2222222222222</v>
      </c>
      <c r="K74" s="27" t="n">
        <f aca="false">VLOOKUP(D74,$C$102:$E$106,3,FALSE())</f>
        <v>1</v>
      </c>
      <c r="L74" s="27" t="n">
        <f aca="false">VLOOKUP(O74,$C$102:$E$106,3,FALSE())</f>
        <v>1</v>
      </c>
      <c r="M74" s="27" t="n">
        <f aca="false">VLOOKUP(D74,$C$102:$E$106,3,FALSE())</f>
        <v>1</v>
      </c>
      <c r="N74" s="58" t="str">
        <f aca="false">IF(L74=M74,"",'12.lan'!$D$240&amp;VLOOKUP(L74,$C$102:$D$106,2,FALSE())&amp;" ("&amp;L74&amp;")")</f>
        <v/>
      </c>
      <c r="O74" s="27" t="n">
        <f aca="false">C104</f>
        <v>1</v>
      </c>
    </row>
    <row r="75" customFormat="false" ht="30" hidden="false" customHeight="true" outlineLevel="0" collapsed="false">
      <c r="A75" s="29"/>
      <c r="B75" s="137" t="s">
        <v>93</v>
      </c>
      <c r="C75" s="137" t="str">
        <f aca="false">'12.lan'!D174</f>
        <v>Negative aspect: non-disclosure of hazardous substances</v>
      </c>
      <c r="D75" s="119"/>
      <c r="E75" s="127"/>
      <c r="F75" s="121" t="str">
        <f aca="false">'12.lan'!$D$330</f>
        <v>Introduce negative points between 0 and -200</v>
      </c>
      <c r="G75" s="122"/>
      <c r="H75" s="123" t="n">
        <v>0</v>
      </c>
      <c r="I75" s="124" t="n">
        <f aca="false">H75*J72/50</f>
        <v>0</v>
      </c>
      <c r="J75" s="124" t="n">
        <f aca="false">-200*J72/50</f>
        <v>-177.777777777778</v>
      </c>
    </row>
    <row r="76" customFormat="false" ht="36" hidden="false" customHeight="true" outlineLevel="0" collapsed="false">
      <c r="A76" s="29"/>
      <c r="B76" s="104" t="s">
        <v>94</v>
      </c>
      <c r="C76" s="104" t="str">
        <f aca="false">'12.lan'!D175</f>
        <v>Social environment</v>
      </c>
      <c r="D76" s="128" t="n">
        <f aca="false">L76</f>
        <v>1</v>
      </c>
      <c r="E76" s="129" t="str">
        <f aca="false">VLOOKUP(D76,$C$102:$D$106,2,FALSE())</f>
        <v>medium</v>
      </c>
      <c r="F76" s="130"/>
      <c r="G76" s="130"/>
      <c r="H76" s="108" t="n">
        <f aca="false">IFERROR(I76/J76,0)</f>
        <v>0.3</v>
      </c>
      <c r="I76" s="109" t="n">
        <f aca="false">I77+I81+I86+I90</f>
        <v>53.3333333333333</v>
      </c>
      <c r="J76" s="109" t="n">
        <f aca="false">J77+J81+J86+J90</f>
        <v>177.777777777778</v>
      </c>
      <c r="L76" s="27" t="n">
        <f aca="false">'9. Weighting'!K53</f>
        <v>1</v>
      </c>
      <c r="N76" s="110" t="str">
        <f aca="false">IF(D76&lt;&gt;L76,'12.lan'!$D$240&amp;VLOOKUP(L76,$C$102:$D$106,2,FALSE())&amp;" ("&amp;L76&amp;")","")</f>
        <v/>
      </c>
    </row>
    <row r="77" customFormat="false" ht="36" hidden="false" customHeight="true" outlineLevel="0" collapsed="false">
      <c r="A77" s="29"/>
      <c r="B77" s="111" t="s">
        <v>95</v>
      </c>
      <c r="C77" s="142" t="str">
        <f aca="false">'12.lan'!D176</f>
        <v>Purpose of products and services and their effects on society</v>
      </c>
      <c r="D77" s="113" t="n">
        <f aca="false">IF(K77="trifft nicht zu",C106,'9. Weighting'!M43)</f>
        <v>1</v>
      </c>
      <c r="E77" s="131" t="str">
        <f aca="false">VLOOKUP(D77,$C$102:$D$106,2,FALSE())</f>
        <v>medium</v>
      </c>
      <c r="F77" s="144" t="n">
        <f aca="false">IF(K77="trifft nicht zu","trifft nicht zu",'9. Weighting'!M43)</f>
        <v>1</v>
      </c>
      <c r="G77" s="145"/>
      <c r="H77" s="116" t="n">
        <f aca="false">IF(J77&lt;&gt;0,ROUND(SUM(I78:I80)/J77,1),"-")</f>
        <v>0</v>
      </c>
      <c r="I77" s="117" t="n">
        <f aca="false">IF(J77=0,0,H77*J77)</f>
        <v>0</v>
      </c>
      <c r="J77" s="117" t="n">
        <f aca="false">'9. Weighting'!M42</f>
        <v>44.4444444444444</v>
      </c>
      <c r="K77" s="27" t="str">
        <f aca="false">IF(AND(D78="trifft nicht zu",D79="trifft nicht zu"),"trifft nicht zu","")</f>
        <v/>
      </c>
      <c r="L77" s="27" t="n">
        <f aca="false">VLOOKUP(O77,$C$102:$E$106,3,FALSE())</f>
        <v>1</v>
      </c>
      <c r="M77" s="27" t="n">
        <f aca="false">VLOOKUP(D77,$C$102:$E$106,3,FALSE())</f>
        <v>1</v>
      </c>
      <c r="N77" s="58" t="str">
        <f aca="false">IF(L77=M77,"",'12.lan'!$D$240&amp;VLOOKUP(L77,$C$102:$D$106,2,FALSE())&amp;" ("&amp;L77&amp;")")</f>
        <v/>
      </c>
      <c r="O77" s="27" t="n">
        <f aca="false">IF(K77="trifft nicht zu",C106,'9. Weighting'!M43)</f>
        <v>1</v>
      </c>
    </row>
    <row r="78" customFormat="false" ht="34.5" hidden="false" customHeight="true" outlineLevel="0" collapsed="false">
      <c r="A78" s="29"/>
      <c r="B78" s="118" t="s">
        <v>96</v>
      </c>
      <c r="C78" s="118" t="str">
        <f aca="false">'12.lan'!D177</f>
        <v>Products and services should cover basic needs and contribute to a good life</v>
      </c>
      <c r="D78" s="119" t="n">
        <f aca="false">C104</f>
        <v>1</v>
      </c>
      <c r="E78" s="127" t="str">
        <f aca="false">VLOOKUP(D78,$C$102:$D$106,2,FALSE())</f>
        <v>medium</v>
      </c>
      <c r="F78" s="121" t="str">
        <f aca="false">'12.lan'!$D$329</f>
        <v>Introduce value between 0 and 10</v>
      </c>
      <c r="G78" s="122"/>
      <c r="H78" s="123" t="n">
        <v>0</v>
      </c>
      <c r="I78" s="124" t="n">
        <f aca="false">IFERROR(J78*H78/10,0)</f>
        <v>0</v>
      </c>
      <c r="J78" s="124" t="n">
        <f aca="false">IFERROR($J$77*K78/(SUM($K$78:$K$79)),0)</f>
        <v>22.2222222222222</v>
      </c>
      <c r="K78" s="27" t="n">
        <f aca="false">VLOOKUP(D78,$C$102:$E$106,3,FALSE())</f>
        <v>1</v>
      </c>
      <c r="L78" s="27" t="n">
        <f aca="false">VLOOKUP(O78,$C$102:$E$106,3,FALSE())</f>
        <v>1</v>
      </c>
      <c r="M78" s="27" t="n">
        <f aca="false">VLOOKUP(D78,$C$102:$E$106,3,FALSE())</f>
        <v>1</v>
      </c>
      <c r="N78" s="58" t="str">
        <f aca="false">IF(L78=M78,"",'12.lan'!$D$240&amp;VLOOKUP(L78,$C$102:$D$106,2,FALSE())&amp;" ("&amp;L78&amp;")")</f>
        <v/>
      </c>
      <c r="O78" s="27" t="n">
        <f aca="false">C104</f>
        <v>1</v>
      </c>
    </row>
    <row r="79" customFormat="false" ht="30" hidden="false" customHeight="true" outlineLevel="0" collapsed="false">
      <c r="A79" s="29"/>
      <c r="B79" s="137" t="s">
        <v>97</v>
      </c>
      <c r="C79" s="137" t="str">
        <f aca="false">'12.lan'!D178</f>
        <v>Social impact of products and services</v>
      </c>
      <c r="D79" s="119" t="n">
        <f aca="false">C104</f>
        <v>1</v>
      </c>
      <c r="E79" s="127" t="str">
        <f aca="false">VLOOKUP(D79,$C$102:$D$106,2,FALSE())</f>
        <v>medium</v>
      </c>
      <c r="F79" s="121" t="str">
        <f aca="false">'12.lan'!$D$329</f>
        <v>Introduce value between 0 and 10</v>
      </c>
      <c r="G79" s="122"/>
      <c r="H79" s="123" t="n">
        <v>0</v>
      </c>
      <c r="I79" s="124" t="n">
        <f aca="false">IFERROR(J79*H79/10,0)</f>
        <v>0</v>
      </c>
      <c r="J79" s="124" t="n">
        <f aca="false">IFERROR($J$77*K79/(SUM($K$78:$K$79)),0)</f>
        <v>22.2222222222222</v>
      </c>
      <c r="K79" s="27" t="n">
        <f aca="false">VLOOKUP(D79,$C$102:$E$106,3,FALSE())</f>
        <v>1</v>
      </c>
      <c r="L79" s="27" t="n">
        <f aca="false">VLOOKUP(O79,$C$102:$E$106,3,FALSE())</f>
        <v>1</v>
      </c>
      <c r="M79" s="27" t="n">
        <f aca="false">VLOOKUP(D79,$C$102:$E$106,3,FALSE())</f>
        <v>1</v>
      </c>
      <c r="N79" s="58" t="str">
        <f aca="false">IF(L79=M79,"",'12.lan'!$D$240&amp;VLOOKUP(L79,$C$102:$D$106,2,FALSE())&amp;" ("&amp;L79&amp;")")</f>
        <v/>
      </c>
      <c r="O79" s="27" t="n">
        <f aca="false">C104</f>
        <v>1</v>
      </c>
    </row>
    <row r="80" customFormat="false" ht="30" hidden="false" customHeight="true" outlineLevel="0" collapsed="false">
      <c r="A80" s="29"/>
      <c r="B80" s="137" t="s">
        <v>98</v>
      </c>
      <c r="C80" s="137" t="str">
        <f aca="false">'12.lan'!D179</f>
        <v>Negative aspect: unethical and unfit products and services</v>
      </c>
      <c r="D80" s="119"/>
      <c r="E80" s="127"/>
      <c r="F80" s="121" t="str">
        <f aca="false">'12.lan'!$D$330</f>
        <v>Introduce negative points between 0 and -200</v>
      </c>
      <c r="G80" s="122"/>
      <c r="H80" s="123" t="n">
        <v>0</v>
      </c>
      <c r="I80" s="124" t="n">
        <f aca="false">H80*J77/50</f>
        <v>0</v>
      </c>
      <c r="J80" s="124" t="n">
        <f aca="false">-200*J77/50</f>
        <v>-177.777777777778</v>
      </c>
    </row>
    <row r="81" customFormat="false" ht="33" hidden="false" customHeight="true" outlineLevel="0" collapsed="false">
      <c r="A81" s="29"/>
      <c r="B81" s="111" t="s">
        <v>99</v>
      </c>
      <c r="C81" s="142" t="str">
        <f aca="false">'12.lan'!D180</f>
        <v>Contribution to the community</v>
      </c>
      <c r="D81" s="113" t="n">
        <f aca="false">IF(K81="trifft nicht zu",C106,'9. Weighting'!N43)</f>
        <v>1</v>
      </c>
      <c r="E81" s="131" t="str">
        <f aca="false">VLOOKUP(D81,$C$102:$D$106,2,FALSE())</f>
        <v>medium</v>
      </c>
      <c r="F81" s="144" t="n">
        <f aca="false">IF(K81="trifft nicht zu","trifft nicht zu",'9. Weighting'!N43)</f>
        <v>1</v>
      </c>
      <c r="G81" s="145"/>
      <c r="H81" s="116" t="n">
        <f aca="false">IF(J81&lt;&gt;0,ROUND(SUM(I82:I85)/J81,1),"-")</f>
        <v>0.2</v>
      </c>
      <c r="I81" s="117" t="n">
        <f aca="false">IF(J81=0,0,H81*J81)</f>
        <v>8.88888888888889</v>
      </c>
      <c r="J81" s="117" t="n">
        <f aca="false">'9. Weighting'!N42</f>
        <v>44.4444444444444</v>
      </c>
      <c r="K81" s="27" t="str">
        <f aca="false">IF(AND(D82="trifft nicht zu",D83="trifft nicht zu"),"trifft nicht zu","")</f>
        <v/>
      </c>
      <c r="L81" s="27" t="n">
        <f aca="false">VLOOKUP(O81,$C$102:$E$106,3,FALSE())</f>
        <v>1</v>
      </c>
      <c r="M81" s="27" t="n">
        <f aca="false">VLOOKUP(D81,$C$102:$E$106,3,FALSE())</f>
        <v>1</v>
      </c>
      <c r="N81" s="58" t="str">
        <f aca="false">IF(L81=M81,"",'12.lan'!$D$240&amp;VLOOKUP(L81,$C$102:$D$106,2,FALSE())&amp;" ("&amp;L81&amp;")")</f>
        <v/>
      </c>
      <c r="O81" s="27" t="n">
        <f aca="false">IF(K81="trifft nicht zu",C106,'9. Weighting'!N43)</f>
        <v>1</v>
      </c>
    </row>
    <row r="82" customFormat="false" ht="30" hidden="false" customHeight="true" outlineLevel="0" collapsed="false">
      <c r="A82" s="29"/>
      <c r="B82" s="133" t="s">
        <v>100</v>
      </c>
      <c r="C82" s="133" t="str">
        <f aca="false">'12.lan'!D181</f>
        <v>Taxes and social security contributions</v>
      </c>
      <c r="D82" s="119" t="n">
        <f aca="false">C104</f>
        <v>1</v>
      </c>
      <c r="E82" s="127" t="str">
        <f aca="false">VLOOKUP(D82,$C$102:$D$106,2,FALSE())</f>
        <v>medium</v>
      </c>
      <c r="F82" s="121" t="str">
        <f aca="false">'12.lan'!$D$329</f>
        <v>Introduce value between 0 and 10</v>
      </c>
      <c r="G82" s="122"/>
      <c r="H82" s="123" t="n">
        <v>1</v>
      </c>
      <c r="I82" s="124" t="n">
        <f aca="false">IFERROR(J82*H82/10,0)</f>
        <v>2.22222222222222</v>
      </c>
      <c r="J82" s="124" t="n">
        <f aca="false">IFERROR($J$81*K82/SUM($K$82:$K$83),0)</f>
        <v>22.2222222222222</v>
      </c>
      <c r="K82" s="27" t="n">
        <f aca="false">VLOOKUP(D82,$C$102:$E$106,3,FALSE())</f>
        <v>1</v>
      </c>
      <c r="L82" s="27" t="n">
        <f aca="false">VLOOKUP(O82,$C$102:$E$106,3,FALSE())</f>
        <v>1</v>
      </c>
      <c r="M82" s="27" t="n">
        <f aca="false">VLOOKUP(D82,$C$102:$E$106,3,FALSE())</f>
        <v>1</v>
      </c>
      <c r="N82" s="58" t="str">
        <f aca="false">IF(L82=M82,"",'12.lan'!$D$240&amp;VLOOKUP(L82,$C$102:$D$106,2,FALSE())&amp;" ("&amp;L82&amp;")")</f>
        <v/>
      </c>
      <c r="O82" s="27" t="n">
        <f aca="false">C104</f>
        <v>1</v>
      </c>
    </row>
    <row r="83" customFormat="false" ht="30" hidden="false" customHeight="true" outlineLevel="0" collapsed="false">
      <c r="A83" s="29"/>
      <c r="B83" s="38" t="s">
        <v>101</v>
      </c>
      <c r="C83" s="38" t="str">
        <f aca="false">'12.lan'!D182</f>
        <v>Voluntary contributions that strengthen society</v>
      </c>
      <c r="D83" s="119" t="n">
        <v>1</v>
      </c>
      <c r="E83" s="127" t="str">
        <f aca="false">VLOOKUP(D83,$C$102:$D$106,2,FALSE())</f>
        <v>medium</v>
      </c>
      <c r="F83" s="121" t="str">
        <f aca="false">'12.lan'!$D$329</f>
        <v>Introduce value between 0 and 10</v>
      </c>
      <c r="G83" s="122"/>
      <c r="H83" s="123" t="n">
        <v>2</v>
      </c>
      <c r="I83" s="124" t="n">
        <f aca="false">IFERROR(J83*H83/10,0)</f>
        <v>4.44444444444444</v>
      </c>
      <c r="J83" s="124" t="n">
        <f aca="false">IFERROR($J$81*K83/SUM($K$82:$K$83),0)</f>
        <v>22.2222222222222</v>
      </c>
      <c r="K83" s="27" t="n">
        <f aca="false">VLOOKUP(D83,$C$102:$E$106,3,FALSE())</f>
        <v>1</v>
      </c>
      <c r="L83" s="27" t="n">
        <f aca="false">VLOOKUP(O83,$C$102:$E$106,3,FALSE())</f>
        <v>1</v>
      </c>
      <c r="M83" s="27" t="n">
        <f aca="false">VLOOKUP(D83,$C$102:$E$106,3,FALSE())</f>
        <v>1</v>
      </c>
      <c r="N83" s="58" t="str">
        <f aca="false">IF(L83=M83,"",'12.lan'!$D$240&amp;VLOOKUP(L83,$C$102:$D$106,2,FALSE())&amp;" ("&amp;L83&amp;")")</f>
        <v/>
      </c>
      <c r="O83" s="27" t="n">
        <f aca="false">C104</f>
        <v>1</v>
      </c>
    </row>
    <row r="84" customFormat="false" ht="30" hidden="false" customHeight="true" outlineLevel="0" collapsed="false">
      <c r="A84" s="29"/>
      <c r="B84" s="138" t="s">
        <v>102</v>
      </c>
      <c r="C84" s="138" t="str">
        <f aca="false">'12.lan'!D183</f>
        <v>Negative aspect: inappropriate non-payment of tax</v>
      </c>
      <c r="D84" s="119"/>
      <c r="E84" s="127"/>
      <c r="F84" s="121" t="str">
        <f aca="false">'12.lan'!$D$330</f>
        <v>Introduce negative points between 0 and -200</v>
      </c>
      <c r="G84" s="122"/>
      <c r="H84" s="123" t="n">
        <v>0</v>
      </c>
      <c r="I84" s="124" t="n">
        <f aca="false">H84*J81/50</f>
        <v>0</v>
      </c>
      <c r="J84" s="124" t="n">
        <f aca="false">-200*J81/50</f>
        <v>-177.777777777778</v>
      </c>
    </row>
    <row r="85" customFormat="false" ht="30" hidden="false" customHeight="true" outlineLevel="0" collapsed="false">
      <c r="A85" s="29"/>
      <c r="B85" s="138" t="s">
        <v>103</v>
      </c>
      <c r="C85" s="138" t="str">
        <f aca="false">'12.lan'!D184</f>
        <v>Negative aspect: no anti-corruption policy</v>
      </c>
      <c r="D85" s="119"/>
      <c r="E85" s="127"/>
      <c r="F85" s="121" t="str">
        <f aca="false">'12.lan'!$D$330</f>
        <v>Introduce negative points between 0 and -200</v>
      </c>
      <c r="G85" s="122"/>
      <c r="H85" s="123" t="n">
        <v>0</v>
      </c>
      <c r="I85" s="124" t="n">
        <f aca="false">H85*J81/50</f>
        <v>0</v>
      </c>
      <c r="J85" s="124" t="n">
        <f aca="false">-200*J81/50</f>
        <v>-177.777777777778</v>
      </c>
    </row>
    <row r="86" customFormat="false" ht="33" hidden="false" customHeight="true" outlineLevel="0" collapsed="false">
      <c r="A86" s="29"/>
      <c r="B86" s="111" t="s">
        <v>104</v>
      </c>
      <c r="C86" s="112" t="str">
        <f aca="false">'12.lan'!D185</f>
        <v>Reduction of environmental impact</v>
      </c>
      <c r="D86" s="113" t="n">
        <f aca="false">IF(K86="trifft nicht zu",C106,'9. Weighting'!O43)</f>
        <v>1</v>
      </c>
      <c r="E86" s="131" t="str">
        <f aca="false">VLOOKUP(D86,$C$102:$D$106,2,FALSE())</f>
        <v>medium</v>
      </c>
      <c r="F86" s="126"/>
      <c r="G86" s="126"/>
      <c r="H86" s="116" t="n">
        <f aca="false">IF(J86&lt;&gt;0,ROUND(SUM(I87:I89)/J86,1),"-")</f>
        <v>0.4</v>
      </c>
      <c r="I86" s="117" t="n">
        <f aca="false">IF(J86=0,0,H86*J86)</f>
        <v>17.7777777777778</v>
      </c>
      <c r="J86" s="117" t="n">
        <f aca="false">'9. Weighting'!O42</f>
        <v>44.4444444444444</v>
      </c>
      <c r="K86" s="27" t="str">
        <f aca="false">IF(AND(D87="trifft nicht zu",D88="trifft nicht zu"),"trifft nicht zu","")</f>
        <v/>
      </c>
      <c r="L86" s="27" t="n">
        <f aca="false">VLOOKUP(O86,$C$102:$E$106,3,FALSE())</f>
        <v>1</v>
      </c>
      <c r="M86" s="27" t="n">
        <f aca="false">VLOOKUP(D86,$C$102:$E$106,3,FALSE())</f>
        <v>1</v>
      </c>
      <c r="N86" s="58" t="str">
        <f aca="false">IF(L86=M86,"",'12.lan'!$D$240&amp;VLOOKUP(L86,$C$102:$D$106,2,FALSE())&amp;" ("&amp;L86&amp;")")</f>
        <v/>
      </c>
      <c r="O86" s="27" t="n">
        <f aca="false">IF(K86="trifft nicht zu",C106,'9. Weighting'!O43)</f>
        <v>1</v>
      </c>
    </row>
    <row r="87" customFormat="false" ht="30" hidden="false" customHeight="true" outlineLevel="0" collapsed="false">
      <c r="A87" s="29"/>
      <c r="B87" s="133" t="s">
        <v>105</v>
      </c>
      <c r="C87" s="118" t="str">
        <f aca="false">'12.lan'!D186</f>
        <v>Absolute impact and management strategy</v>
      </c>
      <c r="D87" s="119" t="n">
        <f aca="false">C104</f>
        <v>1</v>
      </c>
      <c r="E87" s="127" t="str">
        <f aca="false">VLOOKUP(D87,$C$102:$D$106,2,FALSE())</f>
        <v>medium</v>
      </c>
      <c r="F87" s="121" t="str">
        <f aca="false">'12.lan'!$D$329</f>
        <v>Introduce value between 0 and 10</v>
      </c>
      <c r="G87" s="122"/>
      <c r="H87" s="123" t="n">
        <v>3</v>
      </c>
      <c r="I87" s="124" t="n">
        <f aca="false">IFERROR(J87*H87/10,0)</f>
        <v>6.66666666666667</v>
      </c>
      <c r="J87" s="124" t="n">
        <f aca="false">IFERROR(J86*K87/SUM($K$87:$K$88),0)</f>
        <v>22.2222222222222</v>
      </c>
      <c r="K87" s="27" t="n">
        <f aca="false">VLOOKUP(D87,$C$102:$E$106,3,FALSE())</f>
        <v>1</v>
      </c>
      <c r="L87" s="27" t="n">
        <f aca="false">VLOOKUP(O87,$C$102:$E$106,3,FALSE())</f>
        <v>1</v>
      </c>
      <c r="M87" s="27" t="n">
        <f aca="false">VLOOKUP(D87,$C$102:$E$106,3,FALSE())</f>
        <v>1</v>
      </c>
      <c r="N87" s="58" t="str">
        <f aca="false">IF(L87=M87,"",'12.lan'!$D$240&amp;VLOOKUP(L87,$C$102:$D$106,2,FALSE())&amp;" ("&amp;L87&amp;")")</f>
        <v/>
      </c>
      <c r="O87" s="27" t="n">
        <f aca="false">C104</f>
        <v>1</v>
      </c>
    </row>
    <row r="88" customFormat="false" ht="30" hidden="false" customHeight="true" outlineLevel="0" collapsed="false">
      <c r="A88" s="29"/>
      <c r="B88" s="38" t="s">
        <v>106</v>
      </c>
      <c r="C88" s="48" t="str">
        <f aca="false">'12.lan'!D187</f>
        <v>Relative impact</v>
      </c>
      <c r="D88" s="119" t="n">
        <f aca="false">C104</f>
        <v>1</v>
      </c>
      <c r="E88" s="127" t="str">
        <f aca="false">VLOOKUP(D88,$C$102:$D$106,2,FALSE())</f>
        <v>medium</v>
      </c>
      <c r="F88" s="121" t="str">
        <f aca="false">'12.lan'!$D$329</f>
        <v>Introduce value between 0 and 10</v>
      </c>
      <c r="G88" s="122"/>
      <c r="H88" s="123" t="n">
        <v>4</v>
      </c>
      <c r="I88" s="124" t="n">
        <f aca="false">IFERROR(J88*H88/10,0)</f>
        <v>8.88888888888889</v>
      </c>
      <c r="J88" s="124" t="n">
        <f aca="false">IFERROR(J86*K88/SUM($K$87:$K$88),0)</f>
        <v>22.2222222222222</v>
      </c>
      <c r="K88" s="27" t="n">
        <f aca="false">VLOOKUP(D88,$C$102:$E$106,3,FALSE())</f>
        <v>1</v>
      </c>
      <c r="L88" s="27" t="n">
        <f aca="false">VLOOKUP(O88,$C$102:$E$106,3,FALSE())</f>
        <v>1</v>
      </c>
      <c r="M88" s="27" t="n">
        <f aca="false">VLOOKUP(D88,$C$102:$E$106,3,FALSE())</f>
        <v>1</v>
      </c>
      <c r="N88" s="58" t="str">
        <f aca="false">IF(L88=M88,"",'12.lan'!$D$240&amp;VLOOKUP(L88,$C$102:$D$106,2,FALSE())&amp;" ("&amp;L88&amp;")")</f>
        <v/>
      </c>
      <c r="O88" s="27" t="n">
        <f aca="false">C104</f>
        <v>1</v>
      </c>
    </row>
    <row r="89" customFormat="false" ht="33" hidden="false" customHeight="true" outlineLevel="0" collapsed="false">
      <c r="A89" s="29"/>
      <c r="B89" s="138" t="s">
        <v>107</v>
      </c>
      <c r="C89" s="137" t="str">
        <f aca="false">'12.lan'!D188</f>
        <v>Negative aspect: infringement of environmental regulations and disproportionate environmental pollution</v>
      </c>
      <c r="D89" s="119"/>
      <c r="E89" s="127"/>
      <c r="F89" s="121" t="str">
        <f aca="false">'12.lan'!$D$330</f>
        <v>Introduce negative points between 0 and -200</v>
      </c>
      <c r="G89" s="122"/>
      <c r="H89" s="123" t="n">
        <v>0</v>
      </c>
      <c r="I89" s="124" t="n">
        <f aca="false">H89*J86/50</f>
        <v>0</v>
      </c>
      <c r="J89" s="124" t="n">
        <f aca="false">-200*J86/50</f>
        <v>-177.777777777778</v>
      </c>
    </row>
    <row r="90" customFormat="false" ht="33" hidden="false" customHeight="true" outlineLevel="0" collapsed="false">
      <c r="A90" s="29"/>
      <c r="B90" s="111" t="s">
        <v>108</v>
      </c>
      <c r="C90" s="112" t="str">
        <f aca="false">'12.lan'!D189</f>
        <v>Social co-determination and transparency</v>
      </c>
      <c r="D90" s="113" t="n">
        <f aca="false">IF(K90="trifft nicht zu",C106,'9. Weighting'!P43)</f>
        <v>1</v>
      </c>
      <c r="E90" s="131" t="str">
        <f aca="false">VLOOKUP(D90,$C$102:$D$106,2,FALSE())</f>
        <v>medium</v>
      </c>
      <c r="F90" s="126"/>
      <c r="G90" s="126"/>
      <c r="H90" s="116" t="n">
        <f aca="false">IF(J90&lt;&gt;0,ROUND(SUM(I91:I93)/J90,1),"-")</f>
        <v>0.6</v>
      </c>
      <c r="I90" s="117" t="n">
        <f aca="false">IF(J90=0,0,H90*J90)</f>
        <v>26.6666666666667</v>
      </c>
      <c r="J90" s="117" t="n">
        <f aca="false">'9. Weighting'!P42</f>
        <v>44.4444444444444</v>
      </c>
      <c r="K90" s="27" t="str">
        <f aca="false">IF(AND(D91="trifft nicht zu",D92="trifft nicht zu"),"trifft nicht zu","")</f>
        <v/>
      </c>
      <c r="L90" s="27" t="n">
        <f aca="false">VLOOKUP(O90,$C$102:$E$106,3,FALSE())</f>
        <v>1</v>
      </c>
      <c r="M90" s="27" t="n">
        <f aca="false">VLOOKUP(D90,$C$102:$E$106,3,FALSE())</f>
        <v>1</v>
      </c>
      <c r="N90" s="58" t="str">
        <f aca="false">IF(L90=M90,"",'12.lan'!$D$240&amp;VLOOKUP(L90,$C$102:$D$106,2,FALSE())&amp;" ("&amp;L90&amp;")")</f>
        <v/>
      </c>
      <c r="O90" s="27" t="n">
        <f aca="false">IF(K90="trifft nicht zu",C106,'9. Weighting'!P43)</f>
        <v>1</v>
      </c>
    </row>
    <row r="91" customFormat="false" ht="30" hidden="false" customHeight="true" outlineLevel="0" collapsed="false">
      <c r="A91" s="29"/>
      <c r="B91" s="133" t="s">
        <v>109</v>
      </c>
      <c r="C91" s="118" t="str">
        <f aca="false">'12.lan'!D190</f>
        <v>Transparency</v>
      </c>
      <c r="D91" s="119" t="n">
        <v>1</v>
      </c>
      <c r="E91" s="127" t="str">
        <f aca="false">VLOOKUP(D91,$C$102:$D$106,2,FALSE())</f>
        <v>medium</v>
      </c>
      <c r="F91" s="121" t="str">
        <f aca="false">'12.lan'!$D$329</f>
        <v>Introduce value between 0 and 10</v>
      </c>
      <c r="G91" s="122"/>
      <c r="H91" s="123" t="n">
        <v>5</v>
      </c>
      <c r="I91" s="124" t="n">
        <f aca="false">IFERROR(J91*H91/10,0)</f>
        <v>11.1111111111111</v>
      </c>
      <c r="J91" s="124" t="n">
        <f aca="false">IFERROR($J$90*K91/SUM($K$91:$K$92),0)</f>
        <v>22.2222222222222</v>
      </c>
      <c r="K91" s="27" t="n">
        <f aca="false">VLOOKUP(D91,$C$102:$E$106,3,FALSE())</f>
        <v>1</v>
      </c>
      <c r="L91" s="27" t="n">
        <f aca="false">VLOOKUP(O91,$C$102:$E$106,3,FALSE())</f>
        <v>1</v>
      </c>
      <c r="M91" s="27" t="n">
        <f aca="false">VLOOKUP(D91,$C$102:$E$106,3,FALSE())</f>
        <v>1</v>
      </c>
      <c r="N91" s="58" t="str">
        <f aca="false">IF(L91=M91,"",'12.lan'!$D$240&amp;VLOOKUP(L91,$C$102:$D$106,2,FALSE())&amp;" ("&amp;L91&amp;")")</f>
        <v/>
      </c>
      <c r="O91" s="27" t="n">
        <f aca="false">C104</f>
        <v>1</v>
      </c>
    </row>
    <row r="92" customFormat="false" ht="30" hidden="false" customHeight="true" outlineLevel="0" collapsed="false">
      <c r="A92" s="29"/>
      <c r="B92" s="133" t="s">
        <v>110</v>
      </c>
      <c r="C92" s="118" t="str">
        <f aca="false">'12.lan'!D191</f>
        <v>Social participation</v>
      </c>
      <c r="D92" s="119" t="n">
        <f aca="false">C104</f>
        <v>1</v>
      </c>
      <c r="E92" s="127" t="str">
        <f aca="false">VLOOKUP(D92,$C$102:$D$106,2,FALSE())</f>
        <v>medium</v>
      </c>
      <c r="F92" s="121" t="str">
        <f aca="false">'12.lan'!$D$329</f>
        <v>Introduce value between 0 and 10</v>
      </c>
      <c r="G92" s="122"/>
      <c r="H92" s="123" t="n">
        <v>6</v>
      </c>
      <c r="I92" s="124" t="n">
        <f aca="false">IFERROR(J92*H92/10,0)</f>
        <v>13.3333333333333</v>
      </c>
      <c r="J92" s="124" t="n">
        <f aca="false">IFERROR($J$90*K92/SUM($K$91:$K$92),0)</f>
        <v>22.2222222222222</v>
      </c>
      <c r="K92" s="27" t="n">
        <f aca="false">VLOOKUP(D92,$C$102:$E$106,3,FALSE())</f>
        <v>1</v>
      </c>
      <c r="L92" s="27" t="n">
        <f aca="false">VLOOKUP(O92,$C$102:$E$106,3,FALSE())</f>
        <v>1</v>
      </c>
      <c r="M92" s="27" t="n">
        <f aca="false">VLOOKUP(D92,$C$102:$E$106,3,FALSE())</f>
        <v>1</v>
      </c>
      <c r="N92" s="58" t="str">
        <f aca="false">IF(L92=M92,"",'12.lan'!$D$240&amp;VLOOKUP(L92,$C$102:$D$106,2,FALSE())&amp;" ("&amp;L92&amp;")")</f>
        <v/>
      </c>
      <c r="O92" s="27" t="n">
        <f aca="false">C104</f>
        <v>1</v>
      </c>
    </row>
    <row r="93" customFormat="false" ht="33.75" hidden="false" customHeight="true" outlineLevel="0" collapsed="false">
      <c r="A93" s="29"/>
      <c r="B93" s="133" t="s">
        <v>111</v>
      </c>
      <c r="C93" s="118" t="str">
        <f aca="false">'12.lan'!D192</f>
        <v>Negative aspect: lack of transparency and wilful misinformation</v>
      </c>
      <c r="D93" s="119"/>
      <c r="E93" s="127"/>
      <c r="F93" s="121" t="str">
        <f aca="false">'12.lan'!$D$330</f>
        <v>Introduce negative points between 0 and -200</v>
      </c>
      <c r="G93" s="122"/>
      <c r="H93" s="123" t="n">
        <v>0</v>
      </c>
      <c r="I93" s="124" t="n">
        <f aca="false">H93*J90/50</f>
        <v>0</v>
      </c>
      <c r="J93" s="124" t="n">
        <f aca="false">-200*J90/50</f>
        <v>-177.777777777778</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6" t="str">
        <f aca="false">'12.lan'!D92</f>
        <v>Total Balance Score:</v>
      </c>
      <c r="C95" s="146"/>
      <c r="D95" s="146"/>
      <c r="E95" s="146"/>
      <c r="F95" s="146"/>
      <c r="G95" s="146"/>
      <c r="H95" s="147" t="n">
        <f aca="false">H4</f>
        <v>0.223333333333333</v>
      </c>
      <c r="I95" s="148" t="n">
        <f aca="false">I4</f>
        <v>223.333333333333</v>
      </c>
      <c r="J95" s="148" t="n">
        <f aca="false">J4</f>
        <v>1000</v>
      </c>
    </row>
    <row r="96" customFormat="false" ht="18" hidden="false" customHeight="true" outlineLevel="0" collapsed="false">
      <c r="A96" s="29"/>
      <c r="B96" s="146"/>
      <c r="C96" s="146"/>
      <c r="D96" s="146"/>
      <c r="E96" s="146"/>
      <c r="F96" s="146"/>
      <c r="G96" s="146"/>
      <c r="H96" s="147"/>
      <c r="I96" s="148"/>
      <c r="J96" s="148"/>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49"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49"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0" width="1.29"/>
    <col collapsed="false" customWidth="true" hidden="false" outlineLevel="0" max="4" min="3" style="150" width="2.31"/>
    <col collapsed="false" customWidth="true" hidden="false" outlineLevel="0" max="5" min="5" style="150" width="8.29"/>
    <col collapsed="false" customWidth="true" hidden="false" outlineLevel="0" max="6" min="6" style="150" width="40.88"/>
    <col collapsed="false" customWidth="true" hidden="false" outlineLevel="0" max="7" min="7" style="150" width="27.31"/>
    <col collapsed="false" customWidth="true" hidden="false" outlineLevel="0" max="8" min="8" style="150" width="17.29"/>
    <col collapsed="false" customWidth="true" hidden="false" outlineLevel="0" max="9" min="9" style="150" width="12.29"/>
    <col collapsed="false" customWidth="true" hidden="false" outlineLevel="0" max="10" min="10" style="150" width="36.31"/>
    <col collapsed="false" customWidth="true" hidden="false" outlineLevel="0" max="11" min="11" style="150" width="12.71"/>
    <col collapsed="false" customWidth="true" hidden="false" outlineLevel="0" max="12" min="12" style="150" width="3.3"/>
    <col collapsed="false" customWidth="true" hidden="false" outlineLevel="0" max="15" min="13" style="151" width="13.29"/>
    <col collapsed="false" customWidth="true" hidden="false" outlineLevel="0" max="16" min="16" style="151" width="14.28"/>
    <col collapsed="false" customWidth="true" hidden="false" outlineLevel="0" max="17" min="17" style="150" width="1.29"/>
    <col collapsed="false" customWidth="false" hidden="false" outlineLevel="0" max="18" min="18" style="150" width="10.29"/>
    <col collapsed="false" customWidth="false" hidden="false" outlineLevel="0" max="25" min="19" style="152" width="10.29"/>
    <col collapsed="false" customWidth="false" hidden="false" outlineLevel="0" max="1024" min="26" style="150" width="10.29"/>
  </cols>
  <sheetData>
    <row r="1" customFormat="false" ht="6.75" hidden="false" customHeight="true" outlineLevel="0" collapsed="false">
      <c r="A1" s="152"/>
      <c r="B1" s="152"/>
      <c r="C1" s="152"/>
      <c r="D1" s="152"/>
      <c r="E1" s="152"/>
      <c r="F1" s="152"/>
      <c r="G1" s="152"/>
      <c r="H1" s="152"/>
      <c r="I1" s="152"/>
      <c r="J1" s="152"/>
      <c r="K1" s="152"/>
      <c r="L1" s="152"/>
      <c r="M1" s="153"/>
      <c r="N1" s="153"/>
      <c r="O1" s="153"/>
      <c r="P1" s="153"/>
      <c r="Q1" s="152"/>
      <c r="R1" s="152"/>
    </row>
    <row r="2" customFormat="false" ht="7.5" hidden="false" customHeight="true" outlineLevel="0" collapsed="false">
      <c r="A2" s="152"/>
      <c r="B2" s="154"/>
      <c r="C2" s="154"/>
      <c r="D2" s="154"/>
      <c r="E2" s="154"/>
      <c r="F2" s="152"/>
      <c r="G2" s="152"/>
      <c r="H2" s="152"/>
      <c r="I2" s="152"/>
      <c r="J2" s="152"/>
      <c r="K2" s="152"/>
      <c r="L2" s="152"/>
      <c r="M2" s="153"/>
      <c r="N2" s="153"/>
      <c r="O2" s="153"/>
      <c r="P2" s="153"/>
      <c r="Q2" s="152"/>
      <c r="R2" s="152"/>
    </row>
    <row r="3" customFormat="false" ht="6.75" hidden="false" customHeight="true" outlineLevel="0" collapsed="false">
      <c r="A3" s="152"/>
      <c r="B3" s="155"/>
      <c r="C3" s="156"/>
      <c r="D3" s="157"/>
      <c r="E3" s="157"/>
      <c r="F3" s="157"/>
      <c r="G3" s="157"/>
      <c r="H3" s="157"/>
      <c r="I3" s="157"/>
      <c r="J3" s="157"/>
      <c r="K3" s="157"/>
      <c r="L3" s="157"/>
      <c r="M3" s="158"/>
      <c r="N3" s="158"/>
      <c r="O3" s="158"/>
      <c r="P3" s="158"/>
      <c r="Q3" s="159"/>
      <c r="R3" s="152"/>
    </row>
    <row r="4" customFormat="false" ht="42" hidden="false" customHeight="true" outlineLevel="0" collapsed="false">
      <c r="A4" s="152"/>
      <c r="B4" s="160"/>
      <c r="C4" s="161"/>
      <c r="D4" s="162"/>
      <c r="E4" s="163" t="s">
        <v>112</v>
      </c>
      <c r="F4" s="163"/>
      <c r="G4" s="163"/>
      <c r="H4" s="163"/>
      <c r="I4" s="163"/>
      <c r="J4" s="163"/>
      <c r="K4" s="164" t="s">
        <v>113</v>
      </c>
      <c r="L4" s="164"/>
      <c r="M4" s="165" t="s">
        <v>114</v>
      </c>
      <c r="N4" s="165" t="s">
        <v>115</v>
      </c>
      <c r="O4" s="165" t="s">
        <v>116</v>
      </c>
      <c r="P4" s="165" t="s">
        <v>117</v>
      </c>
      <c r="Q4" s="166"/>
      <c r="R4" s="152"/>
    </row>
    <row r="5" customFormat="false" ht="24.75" hidden="false" customHeight="true" outlineLevel="0" collapsed="false">
      <c r="A5" s="152"/>
      <c r="B5" s="167" t="s">
        <v>118</v>
      </c>
      <c r="C5" s="168"/>
      <c r="D5" s="167"/>
      <c r="E5" s="163"/>
      <c r="F5" s="163"/>
      <c r="G5" s="163"/>
      <c r="H5" s="163"/>
      <c r="I5" s="163"/>
      <c r="J5" s="163"/>
      <c r="K5" s="164"/>
      <c r="L5" s="164"/>
      <c r="M5" s="165"/>
      <c r="N5" s="165"/>
      <c r="O5" s="165"/>
      <c r="P5" s="165"/>
      <c r="Q5" s="166"/>
      <c r="R5" s="152"/>
    </row>
    <row r="6" customFormat="false" ht="12.75" hidden="false" customHeight="true" outlineLevel="0" collapsed="false">
      <c r="A6" s="152"/>
      <c r="B6" s="167" t="s">
        <v>119</v>
      </c>
      <c r="C6" s="168"/>
      <c r="D6" s="167"/>
      <c r="E6" s="163"/>
      <c r="F6" s="163"/>
      <c r="G6" s="163"/>
      <c r="H6" s="163"/>
      <c r="I6" s="163"/>
      <c r="J6" s="163"/>
      <c r="K6" s="164"/>
      <c r="L6" s="164"/>
      <c r="M6" s="165"/>
      <c r="N6" s="165"/>
      <c r="O6" s="165"/>
      <c r="P6" s="165"/>
      <c r="Q6" s="166"/>
      <c r="R6" s="152"/>
    </row>
    <row r="7" customFormat="false" ht="41.25" hidden="false" customHeight="true" outlineLevel="0" collapsed="false">
      <c r="A7" s="152"/>
      <c r="B7" s="167"/>
      <c r="C7" s="168"/>
      <c r="D7" s="167"/>
      <c r="E7" s="169"/>
      <c r="F7" s="170"/>
      <c r="G7" s="170"/>
      <c r="H7" s="171" t="s">
        <v>120</v>
      </c>
      <c r="I7" s="171"/>
      <c r="J7" s="172" t="s">
        <v>121</v>
      </c>
      <c r="K7" s="164"/>
      <c r="L7" s="164"/>
      <c r="M7" s="165"/>
      <c r="N7" s="165"/>
      <c r="O7" s="165"/>
      <c r="P7" s="165"/>
      <c r="Q7" s="166"/>
      <c r="R7" s="152"/>
    </row>
    <row r="8" customFormat="false" ht="57" hidden="false" customHeight="true" outlineLevel="0" collapsed="false">
      <c r="A8" s="152"/>
      <c r="B8" s="173"/>
      <c r="C8" s="174"/>
      <c r="D8" s="173"/>
      <c r="E8" s="175"/>
      <c r="F8" s="176" t="s">
        <v>122</v>
      </c>
      <c r="G8" s="176"/>
      <c r="H8" s="176"/>
      <c r="I8" s="176"/>
      <c r="J8" s="176"/>
      <c r="K8" s="177"/>
      <c r="L8" s="177"/>
      <c r="M8" s="165"/>
      <c r="N8" s="165"/>
      <c r="O8" s="165"/>
      <c r="P8" s="165"/>
      <c r="Q8" s="166"/>
      <c r="R8" s="152"/>
    </row>
    <row r="9" customFormat="false" ht="15" hidden="false" customHeight="true" outlineLevel="0" collapsed="false">
      <c r="A9" s="152"/>
      <c r="B9" s="173"/>
      <c r="C9" s="174"/>
      <c r="D9" s="173"/>
      <c r="E9" s="175"/>
      <c r="F9" s="176"/>
      <c r="G9" s="176"/>
      <c r="H9" s="176"/>
      <c r="I9" s="176"/>
      <c r="J9" s="176"/>
      <c r="K9" s="177"/>
      <c r="L9" s="177"/>
      <c r="M9" s="178" t="n">
        <f aca="false">M15+M23+M29+M36+M42</f>
        <v>255.555555555556</v>
      </c>
      <c r="N9" s="178" t="n">
        <f aca="false">N15+N23+N29+N36+N42</f>
        <v>244.444444444444</v>
      </c>
      <c r="O9" s="178" t="n">
        <f aca="false">O15+O23+O29+O36+O42</f>
        <v>255.555555555556</v>
      </c>
      <c r="P9" s="178" t="n">
        <f aca="false">P15+P23+P29+P36+P42</f>
        <v>244.444444444444</v>
      </c>
      <c r="Q9" s="166"/>
      <c r="R9" s="152"/>
    </row>
    <row r="10" customFormat="false" ht="21" hidden="false" customHeight="true" outlineLevel="0" collapsed="false">
      <c r="A10" s="152"/>
      <c r="B10" s="179"/>
      <c r="C10" s="180"/>
      <c r="D10" s="181"/>
      <c r="E10" s="182"/>
      <c r="F10" s="183" t="s">
        <v>123</v>
      </c>
      <c r="G10" s="183"/>
      <c r="H10" s="183"/>
      <c r="I10" s="184" t="n">
        <f aca="false">'2. Company Facts'!C7</f>
        <v>10000</v>
      </c>
      <c r="J10" s="185" t="s">
        <v>124</v>
      </c>
      <c r="K10" s="186" t="n">
        <f aca="false">K49</f>
        <v>1</v>
      </c>
      <c r="L10" s="187" t="n">
        <f aca="false">M15+N15+O15+P15</f>
        <v>177.777777777778</v>
      </c>
      <c r="M10" s="188" t="s">
        <v>29</v>
      </c>
      <c r="N10" s="189" t="s">
        <v>32</v>
      </c>
      <c r="O10" s="189" t="s">
        <v>36</v>
      </c>
      <c r="P10" s="190" t="s">
        <v>39</v>
      </c>
      <c r="Q10" s="191"/>
      <c r="R10" s="152"/>
    </row>
    <row r="11" customFormat="false" ht="13.5" hidden="false" customHeight="true" outlineLevel="0" collapsed="false">
      <c r="A11" s="152"/>
      <c r="B11" s="179"/>
      <c r="C11" s="192"/>
      <c r="D11" s="193"/>
      <c r="E11" s="194"/>
      <c r="F11" s="195"/>
      <c r="G11" s="195"/>
      <c r="H11" s="195"/>
      <c r="I11" s="195"/>
      <c r="J11" s="185"/>
      <c r="K11" s="186"/>
      <c r="L11" s="186"/>
      <c r="M11" s="188"/>
      <c r="N11" s="189"/>
      <c r="O11" s="189"/>
      <c r="P11" s="190"/>
      <c r="Q11" s="166"/>
      <c r="R11" s="152"/>
    </row>
    <row r="12" customFormat="false" ht="21.75" hidden="false" customHeight="true" outlineLevel="0" collapsed="false">
      <c r="A12" s="152"/>
      <c r="B12" s="179"/>
      <c r="C12" s="174"/>
      <c r="D12" s="173"/>
      <c r="E12" s="194" t="s">
        <v>125</v>
      </c>
      <c r="F12" s="196" t="s">
        <v>126</v>
      </c>
      <c r="G12" s="197" t="s">
        <v>127</v>
      </c>
      <c r="H12" s="197" t="s">
        <v>128</v>
      </c>
      <c r="I12" s="196" t="s">
        <v>129</v>
      </c>
      <c r="J12" s="185"/>
      <c r="K12" s="186"/>
      <c r="L12" s="186"/>
      <c r="M12" s="198"/>
      <c r="N12" s="199"/>
      <c r="O12" s="199"/>
      <c r="P12" s="200"/>
      <c r="Q12" s="166"/>
      <c r="R12" s="152"/>
    </row>
    <row r="13" customFormat="false" ht="15" hidden="false" customHeight="true" outlineLevel="0" collapsed="false">
      <c r="A13" s="152"/>
      <c r="B13" s="179"/>
      <c r="C13" s="174"/>
      <c r="D13" s="173"/>
      <c r="E13" s="194" t="str">
        <f aca="false">LEFT(F13,2)</f>
        <v>Cc</v>
      </c>
      <c r="F13" s="201" t="str">
        <f aca="false">'2. Company Facts'!B10</f>
        <v>Cc - Paper and forest products, also printed matter (C16, C17, C18)</v>
      </c>
      <c r="G13" s="202" t="str">
        <f aca="false">'2. Company Facts'!C10</f>
        <v>Please enter</v>
      </c>
      <c r="H13" s="202" t="str">
        <f aca="false">'2. Company Facts'!D10</f>
        <v>ALB Albania</v>
      </c>
      <c r="I13" s="203" t="n">
        <f aca="false">'2. Company Facts'!F10</f>
        <v>500</v>
      </c>
      <c r="J13" s="185"/>
      <c r="K13" s="186"/>
      <c r="L13" s="186"/>
      <c r="M13" s="204"/>
      <c r="N13" s="205"/>
      <c r="O13" s="205"/>
      <c r="P13" s="206"/>
      <c r="Q13" s="166"/>
      <c r="R13" s="152"/>
    </row>
    <row r="14" customFormat="false" ht="15" hidden="false" customHeight="true" outlineLevel="0" collapsed="false">
      <c r="A14" s="152"/>
      <c r="B14" s="179"/>
      <c r="C14" s="207"/>
      <c r="D14" s="208"/>
      <c r="E14" s="194" t="str">
        <f aca="false">LEFT(F14,2)</f>
        <v>D</v>
      </c>
      <c r="F14" s="209" t="str">
        <f aca="false">'2. Company Facts'!B11</f>
        <v>D - Electric, Gas, Steam and Refrigeration</v>
      </c>
      <c r="G14" s="210" t="str">
        <f aca="false">'2. Company Facts'!C11</f>
        <v>Please enter</v>
      </c>
      <c r="H14" s="210" t="str">
        <f aca="false">'2. Company Facts'!D11</f>
        <v>ATG Antigua and Barbuda</v>
      </c>
      <c r="I14" s="211" t="n">
        <f aca="false">'2. Company Facts'!F11</f>
        <v>1234</v>
      </c>
      <c r="J14" s="185"/>
      <c r="K14" s="186"/>
      <c r="L14" s="186"/>
      <c r="M14" s="212" t="n">
        <f aca="false">'3. Calc'!D10</f>
        <v>1</v>
      </c>
      <c r="N14" s="213" t="n">
        <f aca="false">'3. Calc'!D13</f>
        <v>1</v>
      </c>
      <c r="O14" s="214" t="n">
        <f aca="false">'3. Calc'!D17</f>
        <v>1</v>
      </c>
      <c r="P14" s="215" t="n">
        <f aca="false">'3. Calc'!D20</f>
        <v>1</v>
      </c>
      <c r="Q14" s="216" t="n">
        <f aca="false">'11.Region'!U10</f>
        <v>0</v>
      </c>
      <c r="R14" s="152"/>
    </row>
    <row r="15" customFormat="false" ht="15" hidden="false" customHeight="true" outlineLevel="0" collapsed="false">
      <c r="A15" s="152"/>
      <c r="B15" s="208"/>
      <c r="C15" s="207"/>
      <c r="D15" s="208"/>
      <c r="E15" s="194" t="str">
        <f aca="false">LEFT(F15,2)</f>
        <v>Pl</v>
      </c>
      <c r="F15" s="217" t="str">
        <f aca="false">'2. Company Facts'!B12</f>
        <v>Please choose</v>
      </c>
      <c r="G15" s="210" t="str">
        <f aca="false">'2. Company Facts'!C12</f>
        <v>Please enter</v>
      </c>
      <c r="H15" s="210" t="str">
        <f aca="false">'2. Company Facts'!D12</f>
        <v>Please choose</v>
      </c>
      <c r="I15" s="211" t="n">
        <f aca="false">'2. Company Facts'!F12</f>
        <v>4322</v>
      </c>
      <c r="J15" s="185"/>
      <c r="K15" s="186"/>
      <c r="L15" s="186"/>
      <c r="M15" s="218" t="n">
        <f aca="false">M49</f>
        <v>44.4444444444444</v>
      </c>
      <c r="N15" s="219" t="n">
        <f aca="false">N49</f>
        <v>44.4444444444444</v>
      </c>
      <c r="O15" s="219" t="n">
        <f aca="false">O49</f>
        <v>44.4444444444444</v>
      </c>
      <c r="P15" s="220" t="n">
        <f aca="false">P49</f>
        <v>44.4444444444444</v>
      </c>
      <c r="Q15" s="216"/>
      <c r="R15" s="152"/>
    </row>
    <row r="16" customFormat="false" ht="15" hidden="false" customHeight="true" outlineLevel="0" collapsed="false">
      <c r="A16" s="152"/>
      <c r="B16" s="167"/>
      <c r="C16" s="168"/>
      <c r="D16" s="167"/>
      <c r="E16" s="194" t="str">
        <f aca="false">LEFT(F16,2)</f>
        <v>Pl</v>
      </c>
      <c r="F16" s="217" t="str">
        <f aca="false">'2. Company Facts'!B13</f>
        <v>Please choose</v>
      </c>
      <c r="G16" s="210" t="str">
        <f aca="false">'2. Company Facts'!C13</f>
        <v>Please enter</v>
      </c>
      <c r="H16" s="210" t="str">
        <f aca="false">'2. Company Facts'!D13</f>
        <v>Please choose</v>
      </c>
      <c r="I16" s="211" t="n">
        <f aca="false">'2. Company Facts'!F13</f>
        <v>0</v>
      </c>
      <c r="J16" s="185"/>
      <c r="K16" s="186"/>
      <c r="L16" s="186"/>
      <c r="M16" s="221" t="n">
        <f aca="false">'3. Calc'!C104</f>
        <v>1</v>
      </c>
      <c r="N16" s="222" t="n">
        <f aca="false">'3. Calc'!C104</f>
        <v>1</v>
      </c>
      <c r="O16" s="222" t="n">
        <f aca="false">IFERROR(IF('11.Region'!N8&gt;1.5,'3. Calc'!C102,IF('11.Region'!N8&gt;1.25,'3. Calc'!C103,IF('11.Region'!N8&lt;0.75,'3. Calc'!C105,'3. Calc'!C104))),'3. Calc'!C104)</f>
        <v>1</v>
      </c>
      <c r="P16" s="223" t="n">
        <f aca="false">IF('11.Region'!I9&lt;1.5,'3. Calc'!C105,IF('11.Region'!I9&lt;3.26,'3. Calc'!C104,IF('11.Region'!I9&lt;4.5,'3. Calc'!C103,'3. Calc'!C102)))</f>
        <v>1</v>
      </c>
      <c r="Q16" s="216"/>
      <c r="R16" s="152"/>
    </row>
    <row r="17" customFormat="false" ht="15" hidden="false" customHeight="true" outlineLevel="0" collapsed="false">
      <c r="A17" s="152"/>
      <c r="B17" s="167"/>
      <c r="C17" s="168"/>
      <c r="D17" s="167"/>
      <c r="E17" s="194" t="str">
        <f aca="false">LEFT(F17,2)</f>
        <v>Pl</v>
      </c>
      <c r="F17" s="224" t="str">
        <f aca="false">'2. Company Facts'!B14</f>
        <v>Please choose</v>
      </c>
      <c r="G17" s="225" t="str">
        <f aca="false">'2. Company Facts'!C14</f>
        <v>Please enter</v>
      </c>
      <c r="H17" s="210" t="str">
        <f aca="false">'2. Company Facts'!D14</f>
        <v>Please choose</v>
      </c>
      <c r="I17" s="211" t="n">
        <f aca="false">'2. Company Facts'!F14</f>
        <v>0</v>
      </c>
      <c r="J17" s="185"/>
      <c r="K17" s="186"/>
      <c r="L17" s="186"/>
      <c r="M17" s="204"/>
      <c r="N17" s="205"/>
      <c r="O17" s="205"/>
      <c r="P17" s="206"/>
      <c r="Q17" s="216"/>
      <c r="R17" s="152"/>
    </row>
    <row r="18" customFormat="false" ht="15.75" hidden="false" customHeight="true" outlineLevel="0" collapsed="false">
      <c r="A18" s="152"/>
      <c r="B18" s="226"/>
      <c r="C18" s="227"/>
      <c r="D18" s="228"/>
      <c r="E18" s="229"/>
      <c r="F18" s="230" t="s">
        <v>130</v>
      </c>
      <c r="G18" s="230"/>
      <c r="H18" s="231" t="str">
        <f aca="false">'2. Company Facts'!D15</f>
        <v>Please choose</v>
      </c>
      <c r="I18" s="232" t="n">
        <f aca="false">'2. Company Facts'!F15</f>
        <v>3944</v>
      </c>
      <c r="J18" s="185"/>
      <c r="K18" s="186"/>
      <c r="L18" s="186"/>
      <c r="M18" s="233"/>
      <c r="N18" s="234"/>
      <c r="O18" s="234"/>
      <c r="P18" s="235"/>
      <c r="Q18" s="236"/>
      <c r="R18" s="152"/>
    </row>
    <row r="19" customFormat="false" ht="13.5" hidden="false" customHeight="true" outlineLevel="0" collapsed="false">
      <c r="A19" s="152"/>
      <c r="B19" s="208"/>
      <c r="C19" s="207"/>
      <c r="D19" s="208"/>
      <c r="E19" s="194"/>
      <c r="F19" s="237" t="s">
        <v>131</v>
      </c>
      <c r="G19" s="237"/>
      <c r="H19" s="237"/>
      <c r="I19" s="238" t="n">
        <f aca="false">'2. Company Facts'!C18</f>
        <v>500</v>
      </c>
      <c r="J19" s="239" t="s">
        <v>132</v>
      </c>
      <c r="K19" s="240" t="n">
        <f aca="false">K50</f>
        <v>0.5</v>
      </c>
      <c r="L19" s="187" t="n">
        <f aca="false">M23+N23+O23+P23</f>
        <v>111.111111111111</v>
      </c>
      <c r="M19" s="241" t="s">
        <v>43</v>
      </c>
      <c r="N19" s="242" t="s">
        <v>47</v>
      </c>
      <c r="O19" s="242" t="s">
        <v>50</v>
      </c>
      <c r="P19" s="243" t="s">
        <v>54</v>
      </c>
      <c r="Q19" s="216"/>
      <c r="R19" s="152"/>
    </row>
    <row r="20" customFormat="false" ht="15" hidden="false" customHeight="true" outlineLevel="0" collapsed="false">
      <c r="A20" s="152"/>
      <c r="B20" s="208"/>
      <c r="C20" s="207"/>
      <c r="D20" s="208"/>
      <c r="E20" s="194"/>
      <c r="F20" s="244" t="s">
        <v>133</v>
      </c>
      <c r="G20" s="244"/>
      <c r="H20" s="244"/>
      <c r="I20" s="245" t="str">
        <f aca="false">IFERROR(I19/I32,"-")</f>
        <v>-</v>
      </c>
      <c r="J20" s="239"/>
      <c r="K20" s="240"/>
      <c r="L20" s="240"/>
      <c r="M20" s="241"/>
      <c r="N20" s="242" t="s">
        <v>134</v>
      </c>
      <c r="O20" s="242"/>
      <c r="P20" s="243" t="s">
        <v>135</v>
      </c>
      <c r="Q20" s="216"/>
      <c r="R20" s="152"/>
    </row>
    <row r="21" customFormat="false" ht="15" hidden="false" customHeight="true" outlineLevel="0" collapsed="false">
      <c r="A21" s="152"/>
      <c r="B21" s="208"/>
      <c r="C21" s="207"/>
      <c r="D21" s="208"/>
      <c r="E21" s="194"/>
      <c r="F21" s="246" t="s">
        <v>136</v>
      </c>
      <c r="G21" s="246"/>
      <c r="H21" s="246"/>
      <c r="I21" s="247" t="n">
        <f aca="false">'2. Company Facts'!C19</f>
        <v>12</v>
      </c>
      <c r="J21" s="239"/>
      <c r="K21" s="240"/>
      <c r="L21" s="240"/>
      <c r="M21" s="198"/>
      <c r="N21" s="199"/>
      <c r="O21" s="199"/>
      <c r="P21" s="200"/>
      <c r="Q21" s="216"/>
      <c r="R21" s="152"/>
    </row>
    <row r="22" customFormat="false" ht="15" hidden="false" customHeight="true" outlineLevel="0" collapsed="false">
      <c r="A22" s="152"/>
      <c r="B22" s="160"/>
      <c r="C22" s="248"/>
      <c r="D22" s="160"/>
      <c r="E22" s="249" t="n">
        <f aca="false">IFERROR((G24+I24)/I23,0.2)</f>
        <v>2.75</v>
      </c>
      <c r="F22" s="250" t="s">
        <v>137</v>
      </c>
      <c r="G22" s="251" t="s">
        <v>138</v>
      </c>
      <c r="H22" s="251"/>
      <c r="I22" s="252" t="n">
        <f aca="false">'2. Company Facts'!C20</f>
        <v>23</v>
      </c>
      <c r="J22" s="239"/>
      <c r="K22" s="240"/>
      <c r="L22" s="240"/>
      <c r="M22" s="253" t="n">
        <f aca="false">'3. Calc'!D24</f>
        <v>1.5</v>
      </c>
      <c r="N22" s="254" t="n">
        <f aca="false">'3. Calc'!D28</f>
        <v>1</v>
      </c>
      <c r="O22" s="254" t="n">
        <f aca="false">'3. Calc'!D31</f>
        <v>1.5</v>
      </c>
      <c r="P22" s="255" t="n">
        <f aca="false">'3. Calc'!D35</f>
        <v>1</v>
      </c>
      <c r="Q22" s="256"/>
      <c r="R22" s="152"/>
    </row>
    <row r="23" customFormat="false" ht="15" hidden="false" customHeight="true" outlineLevel="0" collapsed="false">
      <c r="A23" s="152"/>
      <c r="B23" s="160"/>
      <c r="C23" s="248"/>
      <c r="D23" s="160"/>
      <c r="E23" s="257" t="n">
        <f aca="false">IFERROR(I32/I23,0.3)</f>
        <v>0</v>
      </c>
      <c r="F23" s="250" t="s">
        <v>139</v>
      </c>
      <c r="G23" s="246" t="s">
        <v>140</v>
      </c>
      <c r="H23" s="246"/>
      <c r="I23" s="258" t="n">
        <f aca="false">'2. Company Facts'!C21</f>
        <v>44</v>
      </c>
      <c r="J23" s="239"/>
      <c r="K23" s="240"/>
      <c r="L23" s="240"/>
      <c r="M23" s="218" t="n">
        <f aca="false">M50</f>
        <v>33.3333333333333</v>
      </c>
      <c r="N23" s="219" t="n">
        <f aca="false">N50</f>
        <v>22.2222222222222</v>
      </c>
      <c r="O23" s="219" t="n">
        <f aca="false">O50</f>
        <v>33.3333333333333</v>
      </c>
      <c r="P23" s="220" t="n">
        <f aca="false">P50</f>
        <v>22.2222222222222</v>
      </c>
      <c r="Q23" s="256"/>
      <c r="R23" s="152"/>
    </row>
    <row r="24" customFormat="false" ht="15.75" hidden="false" customHeight="true" outlineLevel="0" collapsed="false">
      <c r="A24" s="152"/>
      <c r="B24" s="259"/>
      <c r="C24" s="260"/>
      <c r="D24" s="261"/>
      <c r="E24" s="229"/>
      <c r="F24" s="262" t="s">
        <v>141</v>
      </c>
      <c r="G24" s="238" t="n">
        <f aca="false">'2. Company Facts'!C22</f>
        <v>55</v>
      </c>
      <c r="H24" s="262" t="s">
        <v>142</v>
      </c>
      <c r="I24" s="263" t="n">
        <f aca="false">'2. Company Facts'!C23</f>
        <v>66</v>
      </c>
      <c r="J24" s="239"/>
      <c r="K24" s="240"/>
      <c r="L24" s="240"/>
      <c r="M24" s="264" t="n">
        <f aca="false">IFERROR(IF(H35='10. Industry'!A22,'3. Calc'!C102,IF(E23&lt;0.1,'3. Calc'!C103,IF(E23&gt;0.5,'3. Calc'!C105,'3. Calc'!C104))),'3. Calc'!C104)</f>
        <v>1.5</v>
      </c>
      <c r="N24" s="265" t="n">
        <f aca="false">IFERROR(IF(I20="-",'3. Calc'!C104,IF(I20&gt;0.1,'3. Calc'!C103,IF(I20&lt;0.001,'3. Calc'!C106,IF(I20&lt;0.03,'3. Calc'!C105,'3. Calc'!C104)))),'3. Calc'!C104)</f>
        <v>1</v>
      </c>
      <c r="O24" s="265" t="n">
        <f aca="false">IFERROR(IF(H35='10. Industry'!A22,'3. Calc'!C102,IF(E22&lt;0.1,'3. Calc'!C105,IF(E22&gt;0.25,'3. Calc'!C103,'3. Calc'!C104))),'3. Calc'!C104)</f>
        <v>1.5</v>
      </c>
      <c r="P24" s="266" t="n">
        <f aca="false">IF(H40="Kleinstunternehmen",'3. Calc'!C105,'3. Calc'!C104)</f>
        <v>1</v>
      </c>
      <c r="Q24" s="267"/>
      <c r="R24" s="152"/>
    </row>
    <row r="25" customFormat="false" ht="12" hidden="false" customHeight="true" outlineLevel="0" collapsed="false">
      <c r="A25" s="152"/>
      <c r="B25" s="259"/>
      <c r="C25" s="268"/>
      <c r="D25" s="269"/>
      <c r="E25" s="194"/>
      <c r="F25" s="237" t="s">
        <v>143</v>
      </c>
      <c r="G25" s="237"/>
      <c r="H25" s="237"/>
      <c r="I25" s="270" t="n">
        <f aca="false">'2. Company Facts'!C27</f>
        <v>33333</v>
      </c>
      <c r="J25" s="239" t="s">
        <v>144</v>
      </c>
      <c r="K25" s="240" t="n">
        <f aca="false">K51</f>
        <v>2</v>
      </c>
      <c r="L25" s="187" t="n">
        <f aca="false">M29+N29+O29+P29</f>
        <v>355.555555555556</v>
      </c>
      <c r="M25" s="271" t="s">
        <v>58</v>
      </c>
      <c r="N25" s="272" t="s">
        <v>63</v>
      </c>
      <c r="O25" s="242" t="s">
        <v>68</v>
      </c>
      <c r="P25" s="243" t="s">
        <v>73</v>
      </c>
      <c r="Q25" s="256"/>
      <c r="R25" s="152"/>
    </row>
    <row r="26" customFormat="false" ht="15" hidden="false" customHeight="true" outlineLevel="0" collapsed="false">
      <c r="A26" s="152"/>
      <c r="B26" s="259"/>
      <c r="C26" s="268"/>
      <c r="D26" s="269"/>
      <c r="E26" s="194"/>
      <c r="F26" s="246" t="s">
        <v>145</v>
      </c>
      <c r="G26" s="246"/>
      <c r="H26" s="246"/>
      <c r="I26" s="273" t="n">
        <f aca="false">'2. Company Facts'!C26</f>
        <v>1234</v>
      </c>
      <c r="J26" s="239"/>
      <c r="K26" s="240"/>
      <c r="L26" s="240"/>
      <c r="M26" s="271"/>
      <c r="N26" s="272"/>
      <c r="O26" s="242" t="s">
        <v>146</v>
      </c>
      <c r="P26" s="243" t="s">
        <v>147</v>
      </c>
      <c r="Q26" s="256"/>
      <c r="R26" s="152"/>
    </row>
    <row r="27" customFormat="false" ht="12" hidden="false" customHeight="true" outlineLevel="0" collapsed="false">
      <c r="A27" s="152"/>
      <c r="B27" s="259"/>
      <c r="C27" s="268"/>
      <c r="D27" s="269"/>
      <c r="E27" s="194"/>
      <c r="F27" s="274"/>
      <c r="G27" s="246" t="s">
        <v>148</v>
      </c>
      <c r="H27" s="275" t="str">
        <f aca="false">'2. Company Facts'!B30</f>
        <v>ALB Albania</v>
      </c>
      <c r="I27" s="276" t="n">
        <f aca="false">'2. Company Facts'!D30</f>
        <v>0.01</v>
      </c>
      <c r="J27" s="239"/>
      <c r="K27" s="240"/>
      <c r="L27" s="240"/>
      <c r="M27" s="198"/>
      <c r="N27" s="199"/>
      <c r="O27" s="199"/>
      <c r="P27" s="200"/>
      <c r="Q27" s="256"/>
      <c r="R27" s="152"/>
    </row>
    <row r="28" customFormat="false" ht="15" hidden="false" customHeight="true" outlineLevel="0" collapsed="false">
      <c r="A28" s="152"/>
      <c r="B28" s="167"/>
      <c r="C28" s="248"/>
      <c r="D28" s="160"/>
      <c r="E28" s="194"/>
      <c r="F28" s="274"/>
      <c r="G28" s="246" t="s">
        <v>149</v>
      </c>
      <c r="H28" s="277" t="str">
        <f aca="false">'2. Company Facts'!B31</f>
        <v>Please choose</v>
      </c>
      <c r="I28" s="278" t="n">
        <f aca="false">'2. Company Facts'!D31</f>
        <v>0</v>
      </c>
      <c r="J28" s="239"/>
      <c r="K28" s="240"/>
      <c r="L28" s="240"/>
      <c r="M28" s="253" t="n">
        <f aca="false">'3. Calc'!D39</f>
        <v>1</v>
      </c>
      <c r="N28" s="254" t="n">
        <f aca="false">'3. Calc'!D44</f>
        <v>1</v>
      </c>
      <c r="O28" s="254" t="n">
        <f aca="false">'3. Calc'!D49</f>
        <v>1</v>
      </c>
      <c r="P28" s="255" t="n">
        <f aca="false">'3. Calc'!D54</f>
        <v>1</v>
      </c>
      <c r="Q28" s="256"/>
      <c r="R28" s="152"/>
    </row>
    <row r="29" customFormat="false" ht="15" hidden="false" customHeight="true" outlineLevel="0" collapsed="false">
      <c r="A29" s="152"/>
      <c r="B29" s="167"/>
      <c r="C29" s="248"/>
      <c r="D29" s="160"/>
      <c r="E29" s="194"/>
      <c r="F29" s="274"/>
      <c r="G29" s="246" t="s">
        <v>149</v>
      </c>
      <c r="H29" s="279" t="str">
        <f aca="false">'2. Company Facts'!B32</f>
        <v>AUT Austria</v>
      </c>
      <c r="I29" s="280" t="n">
        <f aca="false">'2. Company Facts'!D32</f>
        <v>0.03</v>
      </c>
      <c r="J29" s="239"/>
      <c r="K29" s="240"/>
      <c r="L29" s="240"/>
      <c r="M29" s="218" t="n">
        <f aca="false">M51</f>
        <v>88.8888888888889</v>
      </c>
      <c r="N29" s="219" t="n">
        <f aca="false">N51</f>
        <v>88.8888888888889</v>
      </c>
      <c r="O29" s="219" t="n">
        <f aca="false">O51</f>
        <v>88.8888888888889</v>
      </c>
      <c r="P29" s="220" t="n">
        <f aca="false">P51</f>
        <v>88.8888888888889</v>
      </c>
      <c r="Q29" s="256"/>
      <c r="R29" s="152"/>
    </row>
    <row r="30" customFormat="false" ht="15" hidden="false" customHeight="true" outlineLevel="0" collapsed="false">
      <c r="A30" s="152"/>
      <c r="B30" s="167"/>
      <c r="C30" s="248"/>
      <c r="D30" s="160"/>
      <c r="E30" s="194"/>
      <c r="F30" s="246" t="s">
        <v>150</v>
      </c>
      <c r="G30" s="246"/>
      <c r="H30" s="246"/>
      <c r="I30" s="281" t="n">
        <f aca="false">'2. Company Facts'!C33</f>
        <v>0</v>
      </c>
      <c r="J30" s="239"/>
      <c r="K30" s="240"/>
      <c r="L30" s="240"/>
      <c r="M30" s="221" t="n">
        <f aca="false">'3. Calc'!C104</f>
        <v>1</v>
      </c>
      <c r="N30" s="221" t="n">
        <f aca="false">'3. Calc'!C104</f>
        <v>1</v>
      </c>
      <c r="O30" s="222" t="n">
        <f aca="false">IF(AND(OR(I31="Nein",I31="No",I31="Nao",I31="Pas"),I30&lt;10),'3. Calc'!C105,IF(I30&gt;25,'3. Calc'!C103,'3. Calc'!C104))</f>
        <v>1</v>
      </c>
      <c r="P30" s="223" t="n">
        <f aca="false">IF(I26=1,'3. Calc'!C106,IF(H40="Kleinstunternehmen",'3. Calc'!C105,IF('11.Region'!I14&gt;3.25,'3. Calc'!C103,'3. Calc'!C104)))</f>
        <v>1</v>
      </c>
      <c r="Q30" s="256"/>
      <c r="R30" s="152"/>
    </row>
    <row r="31" customFormat="false" ht="15.75" hidden="false" customHeight="true" outlineLevel="0" collapsed="false">
      <c r="A31" s="152"/>
      <c r="B31" s="259"/>
      <c r="C31" s="260"/>
      <c r="D31" s="261"/>
      <c r="E31" s="229"/>
      <c r="F31" s="282" t="s">
        <v>151</v>
      </c>
      <c r="G31" s="282"/>
      <c r="H31" s="282"/>
      <c r="I31" s="283" t="n">
        <f aca="false">'2. Company Facts'!C34</f>
        <v>0</v>
      </c>
      <c r="J31" s="239"/>
      <c r="K31" s="240"/>
      <c r="L31" s="240"/>
      <c r="M31" s="233"/>
      <c r="N31" s="234"/>
      <c r="O31" s="234"/>
      <c r="P31" s="235"/>
      <c r="Q31" s="267"/>
      <c r="R31" s="152"/>
    </row>
    <row r="32" customFormat="false" ht="12.75" hidden="false" customHeight="true" outlineLevel="0" collapsed="false">
      <c r="A32" s="152"/>
      <c r="B32" s="259"/>
      <c r="C32" s="268"/>
      <c r="D32" s="269"/>
      <c r="E32" s="194"/>
      <c r="F32" s="284" t="s">
        <v>152</v>
      </c>
      <c r="G32" s="284"/>
      <c r="H32" s="284"/>
      <c r="I32" s="285" t="n">
        <f aca="false">'2. Company Facts'!C37</f>
        <v>0</v>
      </c>
      <c r="J32" s="239" t="s">
        <v>153</v>
      </c>
      <c r="K32" s="240" t="n">
        <v>1</v>
      </c>
      <c r="L32" s="187" t="n">
        <f aca="false">M36+N36+O36+P36</f>
        <v>177.777777777778</v>
      </c>
      <c r="M32" s="286" t="s">
        <v>79</v>
      </c>
      <c r="N32" s="287" t="s">
        <v>83</v>
      </c>
      <c r="O32" s="189" t="s">
        <v>87</v>
      </c>
      <c r="P32" s="190" t="s">
        <v>91</v>
      </c>
      <c r="Q32" s="256"/>
      <c r="R32" s="152"/>
    </row>
    <row r="33" customFormat="false" ht="15" hidden="false" customHeight="true" outlineLevel="0" collapsed="false">
      <c r="A33" s="152"/>
      <c r="B33" s="259"/>
      <c r="C33" s="268"/>
      <c r="D33" s="269"/>
      <c r="E33" s="194"/>
      <c r="F33" s="195"/>
      <c r="G33" s="195"/>
      <c r="H33" s="195" t="s">
        <v>154</v>
      </c>
      <c r="I33" s="288" t="n">
        <f aca="false">'2. Company Facts'!C38</f>
        <v>0</v>
      </c>
      <c r="J33" s="239"/>
      <c r="K33" s="240"/>
      <c r="L33" s="240"/>
      <c r="M33" s="286"/>
      <c r="N33" s="287"/>
      <c r="O33" s="189"/>
      <c r="P33" s="190"/>
      <c r="Q33" s="256"/>
      <c r="R33" s="152"/>
    </row>
    <row r="34" customFormat="false" ht="23.25" hidden="false" customHeight="true" outlineLevel="0" collapsed="false">
      <c r="A34" s="152"/>
      <c r="B34" s="259"/>
      <c r="C34" s="268"/>
      <c r="D34" s="269"/>
      <c r="E34" s="194"/>
      <c r="F34" s="196" t="s">
        <v>126</v>
      </c>
      <c r="G34" s="196" t="s">
        <v>127</v>
      </c>
      <c r="H34" s="289" t="s">
        <v>155</v>
      </c>
      <c r="I34" s="237" t="s">
        <v>156</v>
      </c>
      <c r="J34" s="239"/>
      <c r="K34" s="240"/>
      <c r="L34" s="240"/>
      <c r="M34" s="198"/>
      <c r="N34" s="199"/>
      <c r="O34" s="199"/>
      <c r="P34" s="200"/>
      <c r="Q34" s="256"/>
      <c r="R34" s="152"/>
    </row>
    <row r="35" customFormat="false" ht="15" hidden="false" customHeight="true" outlineLevel="0" collapsed="false">
      <c r="A35" s="152"/>
      <c r="B35" s="259"/>
      <c r="C35" s="268"/>
      <c r="D35" s="269"/>
      <c r="E35" s="194"/>
      <c r="F35" s="290" t="str">
        <f aca="false">'2. Company Facts'!B41</f>
        <v>Cb - Textile production, clothing, leather and leather products (C13, C14, C15)</v>
      </c>
      <c r="G35" s="291" t="n">
        <f aca="false">'2. Company Facts'!C41</f>
        <v>0</v>
      </c>
      <c r="H35" s="289" t="str">
        <f aca="false">LEFT(F35,2)</f>
        <v>Cb</v>
      </c>
      <c r="I35" s="292" t="n">
        <f aca="false">'2. Company Facts'!D41</f>
        <v>0.02</v>
      </c>
      <c r="J35" s="239"/>
      <c r="K35" s="240"/>
      <c r="L35" s="240"/>
      <c r="M35" s="253" t="n">
        <f aca="false">'3. Calc'!D60</f>
        <v>1</v>
      </c>
      <c r="N35" s="254" t="n">
        <f aca="false">'3. Calc'!D64</f>
        <v>1</v>
      </c>
      <c r="O35" s="254" t="n">
        <f aca="false">'3. Calc'!D68</f>
        <v>1</v>
      </c>
      <c r="P35" s="255" t="n">
        <f aca="false">'3. Calc'!D72</f>
        <v>1</v>
      </c>
      <c r="Q35" s="256"/>
      <c r="R35" s="152"/>
    </row>
    <row r="36" customFormat="false" ht="15" hidden="false" customHeight="true" outlineLevel="0" collapsed="false">
      <c r="A36" s="152"/>
      <c r="B36" s="259"/>
      <c r="C36" s="268"/>
      <c r="D36" s="269"/>
      <c r="E36" s="194"/>
      <c r="F36" s="293" t="str">
        <f aca="false">'2. Company Facts'!B42</f>
        <v>Please choose</v>
      </c>
      <c r="G36" s="294" t="n">
        <f aca="false">'2. Company Facts'!C42</f>
        <v>0</v>
      </c>
      <c r="H36" s="289" t="str">
        <f aca="false">LEFT(F36,2)</f>
        <v>Pl</v>
      </c>
      <c r="I36" s="295" t="n">
        <f aca="false">'2. Company Facts'!D42</f>
        <v>0</v>
      </c>
      <c r="J36" s="239"/>
      <c r="K36" s="240"/>
      <c r="L36" s="240"/>
      <c r="M36" s="218" t="n">
        <f aca="false">M52</f>
        <v>44.4444444444444</v>
      </c>
      <c r="N36" s="219" t="n">
        <f aca="false">N52</f>
        <v>44.4444444444444</v>
      </c>
      <c r="O36" s="219" t="n">
        <f aca="false">O52</f>
        <v>44.4444444444444</v>
      </c>
      <c r="P36" s="220" t="n">
        <f aca="false">P52</f>
        <v>44.4444444444444</v>
      </c>
      <c r="Q36" s="256"/>
      <c r="R36" s="152"/>
    </row>
    <row r="37" customFormat="false" ht="15.75" hidden="false" customHeight="true" outlineLevel="0" collapsed="false">
      <c r="A37" s="152"/>
      <c r="B37" s="296"/>
      <c r="C37" s="297"/>
      <c r="D37" s="298"/>
      <c r="E37" s="229"/>
      <c r="F37" s="299" t="str">
        <f aca="false">'2. Company Facts'!B43</f>
        <v>Please choose</v>
      </c>
      <c r="G37" s="300" t="n">
        <f aca="false">'2. Company Facts'!C43</f>
        <v>0</v>
      </c>
      <c r="H37" s="289" t="str">
        <f aca="false">LEFT(F37,2)</f>
        <v>Pl</v>
      </c>
      <c r="I37" s="301" t="n">
        <f aca="false">'2. Company Facts'!D43</f>
        <v>0</v>
      </c>
      <c r="J37" s="239"/>
      <c r="K37" s="240"/>
      <c r="L37" s="240"/>
      <c r="M37" s="264" t="n">
        <f aca="false">'3. Calc'!C104</f>
        <v>1</v>
      </c>
      <c r="N37" s="264" t="n">
        <f aca="false">'3. Calc'!C104</f>
        <v>1</v>
      </c>
      <c r="O37" s="265" t="n">
        <f aca="false">VLOOKUP(S37,'3. Calc'!$B$102:$C$106,2,FALSE())</f>
        <v>1</v>
      </c>
      <c r="P37" s="266" t="n">
        <f aca="false">IFERROR(IF(I33="Ja",'3. Calc'!C103,'3. Calc'!C104),'3. Calc'!C104)</f>
        <v>1</v>
      </c>
      <c r="Q37" s="267"/>
      <c r="R37" s="152"/>
      <c r="S37" s="302" t="n">
        <f aca="false">VLOOKUP('10. Industry'!J39,F49:H53,3,FALSE())</f>
        <v>1</v>
      </c>
    </row>
    <row r="38" customFormat="false" ht="20.25" hidden="false" customHeight="true" outlineLevel="0" collapsed="false">
      <c r="A38" s="152"/>
      <c r="B38" s="296"/>
      <c r="C38" s="303"/>
      <c r="D38" s="296"/>
      <c r="E38" s="194"/>
      <c r="F38" s="194"/>
      <c r="G38" s="194"/>
      <c r="H38" s="194"/>
      <c r="I38" s="194"/>
      <c r="J38" s="185" t="s">
        <v>157</v>
      </c>
      <c r="K38" s="304" t="n">
        <v>1</v>
      </c>
      <c r="L38" s="187" t="n">
        <f aca="false">M42+N42+O42+P42</f>
        <v>177.777777777778</v>
      </c>
      <c r="M38" s="271" t="s">
        <v>95</v>
      </c>
      <c r="N38" s="242" t="s">
        <v>99</v>
      </c>
      <c r="O38" s="242" t="s">
        <v>104</v>
      </c>
      <c r="P38" s="243" t="s">
        <v>108</v>
      </c>
      <c r="Q38" s="256"/>
      <c r="R38" s="152"/>
    </row>
    <row r="39" customFormat="false" ht="20.25" hidden="false" customHeight="true" outlineLevel="0" collapsed="false">
      <c r="A39" s="152"/>
      <c r="B39" s="296"/>
      <c r="C39" s="303"/>
      <c r="D39" s="296"/>
      <c r="E39" s="194"/>
      <c r="F39" s="194"/>
      <c r="G39" s="194"/>
      <c r="H39" s="194" t="str">
        <f aca="false">IF(AND(I26&lt;10,OR(I32&lt;=2000000,I23&lt;=2000000)),'12.lan'!D324,IF(AND(I26&lt;50,OR(I32&lt;=10000000,I23&lt;=10000000)),'12.lan'!D325,IF(AND(I26&lt;250,OR(I32&lt;=50000000,I23&lt;=43000000)),'12.lan'!D326,'12.lan'!D327)))</f>
        <v>Large business</v>
      </c>
      <c r="I39" s="194"/>
      <c r="J39" s="185"/>
      <c r="K39" s="304"/>
      <c r="L39" s="304"/>
      <c r="M39" s="271"/>
      <c r="N39" s="242"/>
      <c r="O39" s="242"/>
      <c r="P39" s="243"/>
      <c r="Q39" s="256"/>
      <c r="R39" s="152"/>
    </row>
    <row r="40" customFormat="false" ht="15" hidden="false" customHeight="true" outlineLevel="0" collapsed="false">
      <c r="A40" s="152"/>
      <c r="B40" s="296"/>
      <c r="C40" s="303"/>
      <c r="D40" s="296"/>
      <c r="E40" s="194"/>
      <c r="F40" s="194" t="s">
        <v>158</v>
      </c>
      <c r="G40" s="194"/>
      <c r="H40" s="194" t="n">
        <f aca="false">IF(AND(I26=0,I32=0,I23=0),'12.lan'!E326)</f>
        <v>0</v>
      </c>
      <c r="I40" s="194"/>
      <c r="J40" s="185"/>
      <c r="K40" s="304"/>
      <c r="L40" s="304"/>
      <c r="M40" s="198"/>
      <c r="N40" s="198"/>
      <c r="O40" s="198"/>
      <c r="P40" s="200"/>
      <c r="Q40" s="256"/>
      <c r="R40" s="152"/>
    </row>
    <row r="41" customFormat="false" ht="14.25" hidden="false" customHeight="true" outlineLevel="0" collapsed="false">
      <c r="A41" s="152"/>
      <c r="B41" s="296"/>
      <c r="C41" s="303"/>
      <c r="D41" s="296"/>
      <c r="E41" s="194"/>
      <c r="F41" s="194"/>
      <c r="G41" s="194"/>
      <c r="H41" s="194"/>
      <c r="I41" s="194"/>
      <c r="J41" s="185"/>
      <c r="K41" s="304"/>
      <c r="L41" s="304"/>
      <c r="M41" s="253" t="n">
        <f aca="false">'3. Calc'!D77</f>
        <v>1</v>
      </c>
      <c r="N41" s="254" t="n">
        <f aca="false">'3. Calc'!D81</f>
        <v>1</v>
      </c>
      <c r="O41" s="254" t="n">
        <f aca="false">'3. Calc'!D86</f>
        <v>1</v>
      </c>
      <c r="P41" s="255" t="n">
        <f aca="false">'3. Calc'!D90</f>
        <v>1</v>
      </c>
      <c r="Q41" s="256"/>
      <c r="R41" s="152"/>
    </row>
    <row r="42" customFormat="false" ht="15.75" hidden="false" customHeight="true" outlineLevel="0" collapsed="false">
      <c r="A42" s="152"/>
      <c r="B42" s="296"/>
      <c r="C42" s="297"/>
      <c r="D42" s="298"/>
      <c r="E42" s="229"/>
      <c r="F42" s="229"/>
      <c r="G42" s="229"/>
      <c r="H42" s="229"/>
      <c r="I42" s="229"/>
      <c r="J42" s="185"/>
      <c r="K42" s="304"/>
      <c r="L42" s="304"/>
      <c r="M42" s="305" t="n">
        <f aca="false">M53</f>
        <v>44.4444444444444</v>
      </c>
      <c r="N42" s="306" t="n">
        <f aca="false">N53</f>
        <v>44.4444444444444</v>
      </c>
      <c r="O42" s="306" t="n">
        <f aca="false">O53</f>
        <v>44.4444444444444</v>
      </c>
      <c r="P42" s="307" t="n">
        <f aca="false">P53</f>
        <v>44.4444444444444</v>
      </c>
      <c r="Q42" s="267"/>
      <c r="R42" s="152"/>
    </row>
    <row r="43" customFormat="false" ht="12.75" hidden="false" customHeight="true" outlineLevel="0" collapsed="false">
      <c r="A43" s="152"/>
      <c r="B43" s="154"/>
      <c r="C43" s="154"/>
      <c r="D43" s="154"/>
      <c r="E43" s="154"/>
      <c r="F43" s="154"/>
      <c r="G43" s="154"/>
      <c r="H43" s="154"/>
      <c r="I43" s="154"/>
      <c r="J43" s="154"/>
      <c r="K43" s="154"/>
      <c r="L43" s="154"/>
      <c r="M43" s="308" t="n">
        <f aca="false">'3. Calc'!C104</f>
        <v>1</v>
      </c>
      <c r="N43" s="308" t="n">
        <f aca="false">IF(I20="-",'3. Calc'!C104,IF(I20&lt;0.05,'3. Calc'!C105,IF(I20&lt;0.1,'3. Calc'!C104,IF(I20&gt;0.1,'3. Calc'!C103,'3. Calc'!C104))))</f>
        <v>1</v>
      </c>
      <c r="O43" s="308" t="n">
        <f aca="false">VLOOKUP(S37,'3. Calc'!$B$102:$C$106,2,FALSE())</f>
        <v>1</v>
      </c>
      <c r="P43" s="308" t="n">
        <f aca="false">IF(H35="B",'3. Calc'!C103,IF(H35="F",'3. Calc'!C103,IF(H40="Kleinstunternehmen",'3. Calc'!C105,IF(H40="Kleinunternehmen",'3. Calc'!C105,'3. Calc'!C104))))</f>
        <v>1</v>
      </c>
      <c r="Q43" s="154"/>
      <c r="R43" s="152"/>
      <c r="S43" s="152" t="n">
        <f aca="false">VLOOKUP('10. Industry'!L39,F49:H53,3,FALSE())</f>
        <v>1</v>
      </c>
    </row>
    <row r="44" customFormat="false" ht="24" hidden="false" customHeight="true" outlineLevel="0" collapsed="false">
      <c r="A44" s="152"/>
      <c r="B44" s="157"/>
      <c r="C44" s="157"/>
      <c r="D44" s="157"/>
      <c r="E44" s="157"/>
      <c r="F44" s="157"/>
      <c r="G44" s="157"/>
      <c r="H44" s="157"/>
      <c r="I44" s="157"/>
      <c r="J44" s="157"/>
      <c r="K44" s="157"/>
      <c r="L44" s="157"/>
      <c r="M44" s="157"/>
      <c r="N44" s="157"/>
      <c r="O44" s="157"/>
      <c r="P44" s="157"/>
      <c r="Q44" s="159"/>
      <c r="R44" s="152"/>
    </row>
    <row r="45" customFormat="false" ht="16.5" hidden="false" customHeight="true" outlineLevel="0" collapsed="false">
      <c r="A45" s="152"/>
      <c r="B45" s="173"/>
      <c r="C45" s="173"/>
      <c r="D45" s="173"/>
      <c r="E45" s="173"/>
      <c r="F45" s="173"/>
      <c r="G45" s="173"/>
      <c r="H45" s="173"/>
      <c r="I45" s="173"/>
      <c r="J45" s="173"/>
      <c r="K45" s="173"/>
      <c r="L45" s="173"/>
      <c r="M45" s="309" t="s">
        <v>159</v>
      </c>
      <c r="N45" s="309" t="s">
        <v>160</v>
      </c>
      <c r="O45" s="309" t="s">
        <v>116</v>
      </c>
      <c r="P45" s="309" t="s">
        <v>161</v>
      </c>
      <c r="Q45" s="166"/>
      <c r="R45" s="152"/>
    </row>
    <row r="46" customFormat="false" ht="24.75" hidden="false" customHeight="true" outlineLevel="0" collapsed="false">
      <c r="A46" s="152"/>
      <c r="B46" s="173"/>
      <c r="C46" s="173"/>
      <c r="D46" s="173"/>
      <c r="E46" s="173"/>
      <c r="F46" s="173"/>
      <c r="G46" s="173"/>
      <c r="H46" s="173"/>
      <c r="I46" s="173"/>
      <c r="J46" s="173"/>
      <c r="K46" s="173"/>
      <c r="L46" s="173"/>
      <c r="M46" s="309"/>
      <c r="N46" s="309"/>
      <c r="O46" s="309"/>
      <c r="P46" s="309"/>
      <c r="Q46" s="166"/>
      <c r="R46" s="152"/>
    </row>
    <row r="47" customFormat="false" ht="24.75" hidden="false" customHeight="true" outlineLevel="0" collapsed="false">
      <c r="A47" s="152"/>
      <c r="B47" s="173"/>
      <c r="C47" s="173"/>
      <c r="D47" s="173"/>
      <c r="E47" s="173"/>
      <c r="F47" s="173"/>
      <c r="G47" s="173"/>
      <c r="H47" s="173"/>
      <c r="I47" s="173"/>
      <c r="J47" s="173"/>
      <c r="K47" s="173"/>
      <c r="L47" s="173"/>
      <c r="M47" s="309"/>
      <c r="N47" s="309"/>
      <c r="O47" s="309"/>
      <c r="P47" s="309"/>
      <c r="Q47" s="166"/>
      <c r="R47" s="152"/>
    </row>
    <row r="48" customFormat="false" ht="26.25" hidden="false" customHeight="true" outlineLevel="0" collapsed="false">
      <c r="A48" s="152"/>
      <c r="B48" s="173"/>
      <c r="C48" s="173"/>
      <c r="D48" s="173"/>
      <c r="F48" s="194" t="s">
        <v>162</v>
      </c>
      <c r="G48" s="194"/>
      <c r="H48" s="194"/>
      <c r="I48" s="193"/>
      <c r="J48" s="193"/>
      <c r="K48" s="173"/>
      <c r="L48" s="173"/>
      <c r="M48" s="289"/>
      <c r="N48" s="289"/>
      <c r="O48" s="289"/>
      <c r="P48" s="289"/>
      <c r="Q48" s="166"/>
      <c r="R48" s="153" t="s">
        <v>163</v>
      </c>
    </row>
    <row r="49" customFormat="false" ht="18.75" hidden="false" customHeight="true" outlineLevel="0" collapsed="false">
      <c r="A49" s="152"/>
      <c r="B49" s="310"/>
      <c r="C49" s="310"/>
      <c r="D49" s="310"/>
      <c r="E49" s="310"/>
      <c r="F49" s="310" t="s">
        <v>164</v>
      </c>
      <c r="G49" s="311"/>
      <c r="H49" s="312" t="n">
        <v>0</v>
      </c>
      <c r="I49" s="313" t="n">
        <f aca="false">IFERROR((60*'11.Region'!G3/('11.Region'!G3+'11.Region'!G10+(I19+I21+I22+G24))*5),100)</f>
        <v>76.8489767813922</v>
      </c>
      <c r="J49" s="313" t="n">
        <f aca="false">IF(I49&lt;60,60,IF(I49&gt;300,300,I49))</f>
        <v>76.8489767813922</v>
      </c>
      <c r="K49" s="314" t="n">
        <f aca="false">IFERROR(IF(J49=60,0.5,IF(J49=300,2,IF(J49&lt;180,1,1.5))),1)</f>
        <v>1</v>
      </c>
      <c r="L49" s="314"/>
      <c r="M49" s="315" t="n">
        <f aca="false">M62/$Q$67*1000</f>
        <v>44.4444444444444</v>
      </c>
      <c r="N49" s="315" t="n">
        <f aca="false">N62/$Q$67*1000</f>
        <v>44.4444444444444</v>
      </c>
      <c r="O49" s="315" t="n">
        <f aca="false">O62/$Q$67*1000</f>
        <v>44.4444444444444</v>
      </c>
      <c r="P49" s="315" t="n">
        <f aca="false">P62/$Q$67*1000</f>
        <v>44.4444444444444</v>
      </c>
      <c r="Q49" s="316" t="n">
        <f aca="false">SUM(M49:P49)</f>
        <v>177.777777777778</v>
      </c>
      <c r="R49" s="153" t="n">
        <f aca="false">'3. Calc'!D9</f>
        <v>1</v>
      </c>
    </row>
    <row r="50" customFormat="false" ht="18.75" hidden="false" customHeight="true" outlineLevel="0" collapsed="false">
      <c r="A50" s="152"/>
      <c r="B50" s="194"/>
      <c r="C50" s="194"/>
      <c r="D50" s="194"/>
      <c r="E50" s="194"/>
      <c r="F50" s="194" t="s">
        <v>165</v>
      </c>
      <c r="G50" s="317"/>
      <c r="H50" s="194" t="n">
        <v>0.5</v>
      </c>
      <c r="I50" s="313" t="n">
        <f aca="false">IFERROR((60*(I19+I21+I22+G24)/('11.Region'!G3+'11.Region'!G10+(I19+I21+I22+G24))*10),100)</f>
        <v>7.71634389674879</v>
      </c>
      <c r="J50" s="313" t="n">
        <f aca="false">IF(I50&lt;60,60,IF(I50&gt;300,300,I50))</f>
        <v>60</v>
      </c>
      <c r="K50" s="314" t="n">
        <f aca="false">IFERROR(IF(J50=60,0.5,IF(J50=300,2,IF(J50&lt;180,1,1.5))),1)</f>
        <v>0.5</v>
      </c>
      <c r="L50" s="314"/>
      <c r="M50" s="315" t="n">
        <f aca="false">M63/$Q$67*1000</f>
        <v>33.3333333333333</v>
      </c>
      <c r="N50" s="315" t="n">
        <f aca="false">N63/$Q$67*1000</f>
        <v>22.2222222222222</v>
      </c>
      <c r="O50" s="315" t="n">
        <f aca="false">O63/$Q$67*1000</f>
        <v>33.3333333333333</v>
      </c>
      <c r="P50" s="315" t="n">
        <f aca="false">P63/$Q$67*1000</f>
        <v>22.2222222222222</v>
      </c>
      <c r="Q50" s="316" t="n">
        <f aca="false">SUM(M50:P50)</f>
        <v>111.111111111111</v>
      </c>
      <c r="R50" s="153" t="n">
        <f aca="false">'3. Calc'!D23</f>
        <v>0.5</v>
      </c>
    </row>
    <row r="51" customFormat="false" ht="18.75" hidden="false" customHeight="true" outlineLevel="0" collapsed="false">
      <c r="A51" s="152"/>
      <c r="B51" s="194"/>
      <c r="C51" s="194"/>
      <c r="D51" s="194"/>
      <c r="E51" s="194"/>
      <c r="F51" s="194" t="s">
        <v>166</v>
      </c>
      <c r="G51" s="317"/>
      <c r="H51" s="194" t="n">
        <v>1</v>
      </c>
      <c r="I51" s="313" t="n">
        <f aca="false">IFERROR((60*'11.Region'!G10/('11.Region'!G3+'11.Region'!G10+(I19+I21+I22+G24))*10),100)</f>
        <v>438.585702540467</v>
      </c>
      <c r="J51" s="313" t="n">
        <f aca="false">IF(I51&lt;60,60,IF(I51&gt;300,300,I51))</f>
        <v>300</v>
      </c>
      <c r="K51" s="314" t="n">
        <f aca="false">IFERROR(IF(J51=60,0.5,IF(J51=300,2,IF(J51&lt;180,1,1.5))),1)</f>
        <v>2</v>
      </c>
      <c r="L51" s="314"/>
      <c r="M51" s="315" t="n">
        <f aca="false">M64/$Q$67*1000</f>
        <v>88.8888888888889</v>
      </c>
      <c r="N51" s="315" t="n">
        <f aca="false">N64/$Q$67*1000</f>
        <v>88.8888888888889</v>
      </c>
      <c r="O51" s="315" t="n">
        <f aca="false">O64/$Q$67*1000</f>
        <v>88.8888888888889</v>
      </c>
      <c r="P51" s="315" t="n">
        <f aca="false">P64/$Q$67*1000</f>
        <v>88.8888888888889</v>
      </c>
      <c r="Q51" s="316" t="n">
        <f aca="false">SUM(M51:P51)</f>
        <v>355.555555555556</v>
      </c>
      <c r="R51" s="153" t="n">
        <f aca="false">'3. Calc'!D38</f>
        <v>2</v>
      </c>
    </row>
    <row r="52" customFormat="false" ht="18.75" hidden="false" customHeight="true" outlineLevel="0" collapsed="false">
      <c r="A52" s="152"/>
      <c r="B52" s="194"/>
      <c r="C52" s="194"/>
      <c r="D52" s="194"/>
      <c r="E52" s="194"/>
      <c r="F52" s="194" t="s">
        <v>167</v>
      </c>
      <c r="G52" s="317"/>
      <c r="H52" s="194" t="n">
        <v>1.5</v>
      </c>
      <c r="I52" s="194"/>
      <c r="J52" s="194"/>
      <c r="K52" s="314" t="n">
        <f aca="false">K32</f>
        <v>1</v>
      </c>
      <c r="L52" s="314"/>
      <c r="M52" s="315" t="n">
        <f aca="false">M65/$Q$67*1000</f>
        <v>44.4444444444444</v>
      </c>
      <c r="N52" s="315" t="n">
        <f aca="false">N65/$Q$67*1000</f>
        <v>44.4444444444444</v>
      </c>
      <c r="O52" s="315" t="n">
        <f aca="false">O65/$Q$67*1000</f>
        <v>44.4444444444444</v>
      </c>
      <c r="P52" s="315" t="n">
        <f aca="false">P65/$Q$67*1000</f>
        <v>44.4444444444444</v>
      </c>
      <c r="Q52" s="316" t="n">
        <f aca="false">SUM(M52:P52)</f>
        <v>177.777777777778</v>
      </c>
      <c r="R52" s="153" t="n">
        <f aca="false">'3. Calc'!D59</f>
        <v>1</v>
      </c>
    </row>
    <row r="53" customFormat="false" ht="18.75" hidden="false" customHeight="true" outlineLevel="0" collapsed="false">
      <c r="A53" s="152"/>
      <c r="B53" s="194"/>
      <c r="C53" s="194"/>
      <c r="D53" s="194"/>
      <c r="E53" s="194"/>
      <c r="F53" s="194" t="s">
        <v>168</v>
      </c>
      <c r="G53" s="317"/>
      <c r="H53" s="194" t="n">
        <v>2</v>
      </c>
      <c r="I53" s="194"/>
      <c r="J53" s="194"/>
      <c r="K53" s="314" t="n">
        <f aca="false">K38</f>
        <v>1</v>
      </c>
      <c r="L53" s="314"/>
      <c r="M53" s="315" t="n">
        <f aca="false">M66/$Q$67*1000</f>
        <v>44.4444444444444</v>
      </c>
      <c r="N53" s="315" t="n">
        <f aca="false">N66/$Q$67*1000</f>
        <v>44.4444444444444</v>
      </c>
      <c r="O53" s="315" t="n">
        <f aca="false">O66/$Q$67*1000</f>
        <v>44.4444444444444</v>
      </c>
      <c r="P53" s="315" t="n">
        <f aca="false">P66/$Q$67*1000</f>
        <v>44.4444444444444</v>
      </c>
      <c r="Q53" s="316" t="n">
        <f aca="false">SUM(M53:P53)</f>
        <v>177.777777777778</v>
      </c>
      <c r="R53" s="153" t="n">
        <f aca="false">'3. Calc'!D76</f>
        <v>1</v>
      </c>
    </row>
    <row r="54" customFormat="false" ht="18.75" hidden="false" customHeight="true" outlineLevel="0" collapsed="false">
      <c r="A54" s="152"/>
      <c r="B54" s="318"/>
      <c r="C54" s="318"/>
      <c r="D54" s="318"/>
      <c r="E54" s="318"/>
      <c r="F54" s="318"/>
      <c r="G54" s="318"/>
      <c r="H54" s="318"/>
      <c r="I54" s="318"/>
      <c r="J54" s="318"/>
      <c r="K54" s="318"/>
      <c r="L54" s="318"/>
      <c r="M54" s="319" t="n">
        <f aca="false">SUM(M49:M53)</f>
        <v>255.555555555556</v>
      </c>
      <c r="N54" s="319" t="n">
        <f aca="false">SUM(N49:N53)</f>
        <v>244.444444444444</v>
      </c>
      <c r="O54" s="319" t="n">
        <f aca="false">SUM(O49:O53)</f>
        <v>255.555555555556</v>
      </c>
      <c r="P54" s="319" t="n">
        <f aca="false">SUM(P49:P53)</f>
        <v>244.444444444444</v>
      </c>
      <c r="Q54" s="320" t="n">
        <f aca="false">SUM(Q49:Q53)</f>
        <v>1000</v>
      </c>
      <c r="R54" s="152"/>
    </row>
    <row r="55" customFormat="false" ht="18.75" hidden="false" customHeight="true" outlineLevel="0" collapsed="false">
      <c r="A55" s="152"/>
      <c r="B55" s="152"/>
      <c r="C55" s="152"/>
      <c r="D55" s="152"/>
      <c r="E55" s="152"/>
      <c r="F55" s="152"/>
      <c r="G55" s="152"/>
      <c r="H55" s="152"/>
      <c r="I55" s="152"/>
      <c r="J55" s="152"/>
      <c r="K55" s="152"/>
      <c r="L55" s="152"/>
      <c r="M55" s="153"/>
      <c r="N55" s="153"/>
      <c r="O55" s="153"/>
      <c r="P55" s="153"/>
      <c r="Q55" s="152"/>
      <c r="R55" s="152"/>
    </row>
    <row r="56" customFormat="false" ht="24.75" hidden="false" customHeight="true" outlineLevel="0" collapsed="false">
      <c r="A56" s="152"/>
      <c r="B56" s="152"/>
      <c r="C56" s="152"/>
      <c r="D56" s="152"/>
      <c r="E56" s="152"/>
      <c r="F56" s="152"/>
      <c r="G56" s="152"/>
      <c r="H56" s="152"/>
      <c r="I56" s="152"/>
      <c r="J56" s="152"/>
      <c r="K56" s="152"/>
      <c r="L56" s="152"/>
      <c r="M56" s="153"/>
      <c r="N56" s="153"/>
      <c r="O56" s="153"/>
      <c r="P56" s="153"/>
      <c r="Q56" s="152"/>
      <c r="R56" s="152"/>
    </row>
    <row r="57" customFormat="false" ht="24.75" hidden="false" customHeight="true" outlineLevel="0" collapsed="false">
      <c r="A57" s="152"/>
      <c r="B57" s="152"/>
      <c r="C57" s="152"/>
      <c r="D57" s="152"/>
      <c r="E57" s="152"/>
      <c r="F57" s="152"/>
      <c r="G57" s="152"/>
      <c r="H57" s="152"/>
      <c r="I57" s="152"/>
      <c r="J57" s="152"/>
      <c r="K57" s="152"/>
      <c r="L57" s="152"/>
      <c r="M57" s="153"/>
      <c r="N57" s="153"/>
      <c r="O57" s="153"/>
      <c r="P57" s="153"/>
      <c r="Q57" s="152"/>
      <c r="R57" s="152"/>
    </row>
    <row r="58" customFormat="false" ht="27.75" hidden="false" customHeight="true" outlineLevel="0" collapsed="false">
      <c r="A58" s="152"/>
      <c r="B58" s="321"/>
      <c r="C58" s="321"/>
      <c r="D58" s="321"/>
      <c r="E58" s="321"/>
      <c r="F58" s="321"/>
      <c r="G58" s="321"/>
      <c r="H58" s="321"/>
      <c r="I58" s="321"/>
      <c r="J58" s="321"/>
      <c r="K58" s="321"/>
      <c r="L58" s="321"/>
      <c r="M58" s="321"/>
      <c r="N58" s="321"/>
      <c r="O58" s="321"/>
      <c r="P58" s="321"/>
      <c r="Q58" s="321"/>
      <c r="R58" s="154"/>
      <c r="S58" s="154"/>
    </row>
    <row r="59" customFormat="false" ht="27.75" hidden="false" customHeight="true" outlineLevel="0" collapsed="false">
      <c r="A59" s="152"/>
      <c r="B59" s="173"/>
      <c r="C59" s="173"/>
      <c r="D59" s="173"/>
      <c r="E59" s="173"/>
      <c r="F59" s="173"/>
      <c r="G59" s="173"/>
      <c r="H59" s="173"/>
      <c r="I59" s="173"/>
      <c r="J59" s="173"/>
      <c r="K59" s="173"/>
      <c r="L59" s="173"/>
      <c r="M59" s="309" t="s">
        <v>159</v>
      </c>
      <c r="N59" s="309" t="s">
        <v>160</v>
      </c>
      <c r="O59" s="309" t="s">
        <v>116</v>
      </c>
      <c r="P59" s="309" t="s">
        <v>161</v>
      </c>
      <c r="Q59" s="166"/>
      <c r="R59" s="154"/>
      <c r="S59" s="154"/>
    </row>
    <row r="60" customFormat="false" ht="19.5" hidden="false" customHeight="true" outlineLevel="0" collapsed="false">
      <c r="A60" s="152"/>
      <c r="B60" s="173"/>
      <c r="C60" s="173"/>
      <c r="D60" s="173"/>
      <c r="E60" s="173"/>
      <c r="F60" s="173"/>
      <c r="G60" s="173"/>
      <c r="H60" s="173"/>
      <c r="I60" s="173"/>
      <c r="J60" s="173"/>
      <c r="K60" s="173"/>
      <c r="L60" s="173"/>
      <c r="M60" s="309"/>
      <c r="N60" s="309"/>
      <c r="O60" s="309"/>
      <c r="P60" s="309"/>
      <c r="Q60" s="166"/>
      <c r="R60" s="152"/>
    </row>
    <row r="61" s="193" customFormat="true" ht="23.25" hidden="false" customHeight="true" outlineLevel="0" collapsed="false">
      <c r="A61" s="154"/>
      <c r="B61" s="173"/>
      <c r="C61" s="173"/>
      <c r="D61" s="173"/>
      <c r="E61" s="173"/>
      <c r="F61" s="173"/>
      <c r="G61" s="173"/>
      <c r="H61" s="173"/>
      <c r="I61" s="173"/>
      <c r="J61" s="173"/>
      <c r="K61" s="173"/>
      <c r="L61" s="173"/>
      <c r="M61" s="289" t="n">
        <v>1</v>
      </c>
      <c r="N61" s="289" t="n">
        <v>1</v>
      </c>
      <c r="O61" s="289" t="n">
        <v>1</v>
      </c>
      <c r="P61" s="289" t="n">
        <v>1</v>
      </c>
      <c r="Q61" s="166"/>
      <c r="R61" s="152"/>
      <c r="S61" s="152"/>
      <c r="T61" s="154"/>
      <c r="U61" s="154"/>
      <c r="V61" s="154"/>
      <c r="W61" s="154"/>
      <c r="X61" s="154"/>
      <c r="Y61" s="154"/>
    </row>
    <row r="62" s="193" customFormat="true" ht="54" hidden="false" customHeight="true" outlineLevel="0" collapsed="false">
      <c r="A62" s="154"/>
      <c r="B62" s="310"/>
      <c r="C62" s="310"/>
      <c r="D62" s="310"/>
      <c r="E62" s="310"/>
      <c r="F62" s="310"/>
      <c r="G62" s="310"/>
      <c r="H62" s="310"/>
      <c r="I62" s="310"/>
      <c r="J62" s="310"/>
      <c r="K62" s="322" t="n">
        <f aca="false">IF(K49=R49,K49,R49)</f>
        <v>1</v>
      </c>
      <c r="L62" s="322"/>
      <c r="M62" s="323" t="n">
        <f aca="false">M14*$K$62</f>
        <v>1</v>
      </c>
      <c r="N62" s="323" t="n">
        <f aca="false">N14*$K$62</f>
        <v>1</v>
      </c>
      <c r="O62" s="323" t="n">
        <f aca="false">O14*$K$62</f>
        <v>1</v>
      </c>
      <c r="P62" s="323" t="n">
        <f aca="false">P14*$K$62</f>
        <v>1</v>
      </c>
      <c r="Q62" s="316" t="n">
        <f aca="false">SUM(M62:P62)</f>
        <v>4</v>
      </c>
      <c r="R62" s="152"/>
      <c r="S62" s="152"/>
      <c r="T62" s="154"/>
      <c r="U62" s="154"/>
      <c r="V62" s="154"/>
      <c r="W62" s="154"/>
      <c r="X62" s="154"/>
      <c r="Y62" s="154"/>
    </row>
    <row r="63" customFormat="false" ht="27" hidden="false" customHeight="true" outlineLevel="0" collapsed="false">
      <c r="A63" s="152"/>
      <c r="B63" s="194"/>
      <c r="C63" s="194"/>
      <c r="D63" s="194"/>
      <c r="E63" s="194"/>
      <c r="F63" s="194"/>
      <c r="G63" s="194"/>
      <c r="H63" s="194"/>
      <c r="I63" s="194"/>
      <c r="J63" s="194"/>
      <c r="K63" s="322" t="n">
        <f aca="false">IF(K50=R50,K50,R50)</f>
        <v>0.5</v>
      </c>
      <c r="L63" s="322"/>
      <c r="M63" s="323" t="n">
        <f aca="false">M22*$K$63</f>
        <v>0.75</v>
      </c>
      <c r="N63" s="323" t="n">
        <f aca="false">N22*$K$63</f>
        <v>0.5</v>
      </c>
      <c r="O63" s="323" t="n">
        <f aca="false">O22*$K$63</f>
        <v>0.75</v>
      </c>
      <c r="P63" s="323" t="n">
        <f aca="false">P22*$K$63</f>
        <v>0.5</v>
      </c>
      <c r="Q63" s="316" t="n">
        <f aca="false">SUM(M63:P63)</f>
        <v>2.5</v>
      </c>
      <c r="R63" s="152"/>
    </row>
    <row r="64" customFormat="false" ht="29.25" hidden="false" customHeight="true" outlineLevel="0" collapsed="false">
      <c r="A64" s="152"/>
      <c r="B64" s="194"/>
      <c r="C64" s="194"/>
      <c r="D64" s="194"/>
      <c r="E64" s="194"/>
      <c r="F64" s="194"/>
      <c r="G64" s="194"/>
      <c r="H64" s="194"/>
      <c r="I64" s="194"/>
      <c r="J64" s="194"/>
      <c r="K64" s="322" t="n">
        <f aca="false">IF(K51=R51,K51,R51)</f>
        <v>2</v>
      </c>
      <c r="L64" s="322"/>
      <c r="M64" s="323" t="n">
        <f aca="false">M28*$K$64</f>
        <v>2</v>
      </c>
      <c r="N64" s="323" t="n">
        <f aca="false">N28*$K$64</f>
        <v>2</v>
      </c>
      <c r="O64" s="323" t="n">
        <f aca="false">O28*$K$64</f>
        <v>2</v>
      </c>
      <c r="P64" s="323" t="n">
        <f aca="false">P28*$K$64</f>
        <v>2</v>
      </c>
      <c r="Q64" s="316" t="n">
        <f aca="false">SUM(M64:P64)</f>
        <v>8</v>
      </c>
      <c r="R64" s="152"/>
    </row>
    <row r="65" customFormat="false" ht="24" hidden="false" customHeight="true" outlineLevel="0" collapsed="false">
      <c r="A65" s="152"/>
      <c r="B65" s="194"/>
      <c r="C65" s="194"/>
      <c r="D65" s="194"/>
      <c r="E65" s="194"/>
      <c r="F65" s="194"/>
      <c r="G65" s="194"/>
      <c r="H65" s="194"/>
      <c r="I65" s="194"/>
      <c r="J65" s="194"/>
      <c r="K65" s="322" t="n">
        <f aca="false">IF(K52=R52,K52,R52)</f>
        <v>1</v>
      </c>
      <c r="L65" s="310"/>
      <c r="M65" s="323" t="n">
        <f aca="false">M35*K65</f>
        <v>1</v>
      </c>
      <c r="N65" s="323" t="n">
        <f aca="false">N35*K65</f>
        <v>1</v>
      </c>
      <c r="O65" s="323" t="n">
        <f aca="false">O35*K65</f>
        <v>1</v>
      </c>
      <c r="P65" s="323" t="n">
        <f aca="false">P35*K65</f>
        <v>1</v>
      </c>
      <c r="Q65" s="316" t="n">
        <f aca="false">SUM(M65:P65)</f>
        <v>4</v>
      </c>
      <c r="R65" s="152"/>
    </row>
    <row r="66" customFormat="false" ht="24" hidden="false" customHeight="true" outlineLevel="0" collapsed="false">
      <c r="A66" s="152"/>
      <c r="B66" s="194"/>
      <c r="C66" s="194"/>
      <c r="D66" s="194"/>
      <c r="E66" s="194"/>
      <c r="F66" s="194"/>
      <c r="G66" s="194"/>
      <c r="H66" s="194"/>
      <c r="I66" s="194"/>
      <c r="J66" s="194"/>
      <c r="K66" s="322" t="n">
        <f aca="false">IF(K53=R53,K53,R53)</f>
        <v>1</v>
      </c>
      <c r="L66" s="310"/>
      <c r="M66" s="323" t="n">
        <f aca="false">M41*K66</f>
        <v>1</v>
      </c>
      <c r="N66" s="323" t="n">
        <f aca="false">N41*K66</f>
        <v>1</v>
      </c>
      <c r="O66" s="323" t="n">
        <f aca="false">O41*K66</f>
        <v>1</v>
      </c>
      <c r="P66" s="323" t="n">
        <f aca="false">P41*K66</f>
        <v>1</v>
      </c>
      <c r="Q66" s="316" t="n">
        <f aca="false">SUM(M66:P66)</f>
        <v>4</v>
      </c>
      <c r="R66" s="152"/>
    </row>
    <row r="67" customFormat="false" ht="24" hidden="false" customHeight="true" outlineLevel="0" collapsed="false">
      <c r="A67" s="152"/>
      <c r="B67" s="318"/>
      <c r="C67" s="318"/>
      <c r="D67" s="318"/>
      <c r="E67" s="318"/>
      <c r="F67" s="318"/>
      <c r="G67" s="318"/>
      <c r="H67" s="318"/>
      <c r="I67" s="318"/>
      <c r="J67" s="318"/>
      <c r="K67" s="318"/>
      <c r="L67" s="318"/>
      <c r="M67" s="319" t="n">
        <f aca="false">SUM(M62:M66)</f>
        <v>5.75</v>
      </c>
      <c r="N67" s="319" t="n">
        <f aca="false">SUM(N62:N66)</f>
        <v>5.5</v>
      </c>
      <c r="O67" s="319" t="n">
        <f aca="false">SUM(O62:O66)</f>
        <v>5.75</v>
      </c>
      <c r="P67" s="319" t="n">
        <f aca="false">SUM(P62:P66)</f>
        <v>5.5</v>
      </c>
      <c r="Q67" s="320" t="n">
        <f aca="false">SUM(Q62:Q66)</f>
        <v>22.5</v>
      </c>
      <c r="R67" s="152"/>
    </row>
    <row r="68" customFormat="false" ht="24" hidden="false" customHeight="true" outlineLevel="0" collapsed="false">
      <c r="A68" s="152"/>
      <c r="B68" s="152"/>
      <c r="C68" s="152"/>
      <c r="D68" s="152"/>
      <c r="E68" s="152"/>
      <c r="F68" s="152"/>
      <c r="G68" s="152"/>
      <c r="H68" s="152"/>
      <c r="I68" s="152"/>
      <c r="J68" s="152"/>
      <c r="K68" s="152"/>
      <c r="L68" s="152"/>
      <c r="M68" s="153"/>
      <c r="N68" s="153"/>
      <c r="O68" s="153"/>
      <c r="P68" s="153"/>
      <c r="Q68" s="152"/>
      <c r="R68" s="152"/>
    </row>
    <row r="69" customFormat="false" ht="36" hidden="false" customHeight="true" outlineLevel="0" collapsed="false">
      <c r="A69" s="152"/>
      <c r="B69" s="152"/>
      <c r="C69" s="152"/>
      <c r="D69" s="152"/>
      <c r="E69" s="152"/>
      <c r="F69" s="152"/>
      <c r="G69" s="152"/>
      <c r="H69" s="152"/>
      <c r="I69" s="152"/>
      <c r="J69" s="152"/>
      <c r="K69" s="152"/>
      <c r="L69" s="152"/>
      <c r="M69" s="153"/>
      <c r="N69" s="153"/>
      <c r="O69" s="153"/>
      <c r="P69" s="153"/>
      <c r="Q69" s="152"/>
      <c r="R69" s="152"/>
    </row>
    <row r="70" customFormat="false" ht="24" hidden="false" customHeight="true" outlineLevel="0" collapsed="false">
      <c r="A70" s="152"/>
      <c r="B70" s="152" t="s">
        <v>169</v>
      </c>
      <c r="C70" s="152"/>
      <c r="D70" s="152"/>
      <c r="E70" s="152"/>
      <c r="F70" s="152"/>
      <c r="G70" s="152"/>
      <c r="H70" s="152"/>
      <c r="I70" s="152"/>
      <c r="J70" s="152"/>
      <c r="K70" s="152"/>
      <c r="L70" s="152"/>
      <c r="M70" s="153"/>
      <c r="N70" s="153"/>
      <c r="O70" s="153"/>
      <c r="P70" s="153"/>
      <c r="Q70" s="152"/>
      <c r="R70" s="152"/>
    </row>
    <row r="71" customFormat="false" ht="12" hidden="false" customHeight="true" outlineLevel="0" collapsed="false">
      <c r="A71" s="152"/>
      <c r="B71" s="152"/>
      <c r="C71" s="152"/>
      <c r="D71" s="152"/>
      <c r="E71" s="152"/>
      <c r="F71" s="152"/>
      <c r="G71" s="152"/>
      <c r="H71" s="152"/>
      <c r="I71" s="152"/>
      <c r="J71" s="152"/>
      <c r="K71" s="152"/>
      <c r="L71" s="152"/>
      <c r="M71" s="153"/>
      <c r="N71" s="153"/>
      <c r="O71" s="153"/>
      <c r="P71" s="153"/>
      <c r="Q71" s="152"/>
      <c r="R71" s="152"/>
    </row>
    <row r="72" customFormat="false" ht="12" hidden="false" customHeight="true" outlineLevel="0" collapsed="false">
      <c r="A72" s="152"/>
      <c r="B72" s="152"/>
      <c r="C72" s="152"/>
      <c r="D72" s="152"/>
      <c r="E72" s="152"/>
      <c r="F72" s="152"/>
      <c r="G72" s="152"/>
      <c r="H72" s="152"/>
      <c r="I72" s="152"/>
      <c r="J72" s="152"/>
      <c r="K72" s="152"/>
      <c r="L72" s="152"/>
      <c r="M72" s="153"/>
      <c r="N72" s="153"/>
      <c r="O72" s="153"/>
      <c r="P72" s="153"/>
      <c r="Q72" s="152"/>
      <c r="R72" s="152"/>
    </row>
    <row r="73" customFormat="false" ht="12" hidden="false" customHeight="true" outlineLevel="0" collapsed="false">
      <c r="A73" s="152"/>
      <c r="B73" s="152"/>
      <c r="C73" s="152"/>
      <c r="D73" s="152"/>
      <c r="E73" s="152"/>
      <c r="F73" s="152"/>
      <c r="G73" s="152"/>
      <c r="H73" s="152"/>
      <c r="I73" s="152"/>
      <c r="J73" s="152"/>
      <c r="K73" s="152"/>
      <c r="L73" s="152"/>
      <c r="M73" s="153"/>
      <c r="N73" s="153"/>
      <c r="O73" s="153"/>
      <c r="P73" s="153"/>
      <c r="Q73" s="152"/>
      <c r="R73" s="152"/>
    </row>
    <row r="74" customFormat="false" ht="12" hidden="false" customHeight="true" outlineLevel="0" collapsed="false">
      <c r="A74" s="152"/>
    </row>
    <row r="75" customFormat="false" ht="12" hidden="false" customHeight="true" outlineLevel="0" collapsed="false">
      <c r="A75" s="152"/>
    </row>
    <row r="76" customFormat="false" ht="12" hidden="false" customHeight="true" outlineLevel="0" collapsed="false">
      <c r="A76" s="152"/>
    </row>
    <row r="119" customFormat="false" ht="12" hidden="false" customHeight="true" outlineLevel="0" collapsed="false">
      <c r="A119" s="152"/>
      <c r="B119" s="152"/>
      <c r="C119" s="152"/>
      <c r="D119" s="152"/>
      <c r="E119" s="152"/>
      <c r="F119" s="152"/>
      <c r="G119" s="152"/>
      <c r="H119" s="152"/>
      <c r="I119" s="152"/>
      <c r="J119" s="152"/>
      <c r="K119" s="152"/>
      <c r="L119" s="152"/>
      <c r="M119" s="153"/>
      <c r="N119" s="153"/>
      <c r="O119" s="153"/>
      <c r="P119" s="153"/>
      <c r="Q119" s="152"/>
      <c r="R119" s="152"/>
    </row>
    <row r="120" customFormat="false" ht="12" hidden="false" customHeight="true" outlineLevel="0" collapsed="false">
      <c r="A120" s="152"/>
      <c r="B120" s="152"/>
      <c r="C120" s="152"/>
      <c r="D120" s="152"/>
      <c r="E120" s="152"/>
      <c r="F120" s="152"/>
      <c r="G120" s="152"/>
      <c r="H120" s="152"/>
      <c r="I120" s="152"/>
      <c r="J120" s="152"/>
      <c r="K120" s="152"/>
      <c r="L120" s="152"/>
      <c r="M120" s="153"/>
      <c r="N120" s="153"/>
      <c r="O120" s="153"/>
      <c r="P120" s="153"/>
      <c r="Q120" s="152"/>
      <c r="R120" s="152"/>
    </row>
    <row r="121" customFormat="false" ht="12" hidden="false" customHeight="true" outlineLevel="0" collapsed="false">
      <c r="A121" s="152"/>
      <c r="B121" s="152"/>
      <c r="C121" s="152"/>
      <c r="D121" s="152"/>
      <c r="E121" s="152"/>
      <c r="F121" s="152"/>
      <c r="G121" s="152"/>
      <c r="H121" s="152"/>
      <c r="I121" s="152"/>
      <c r="J121" s="152"/>
      <c r="K121" s="152"/>
      <c r="L121" s="152"/>
      <c r="M121" s="153"/>
      <c r="N121" s="153"/>
      <c r="O121" s="153"/>
      <c r="P121" s="153"/>
      <c r="Q121" s="152"/>
      <c r="R121" s="152"/>
    </row>
    <row r="122" customFormat="false" ht="12" hidden="false" customHeight="true" outlineLevel="0" collapsed="false">
      <c r="A122" s="152"/>
      <c r="B122" s="152"/>
      <c r="C122" s="152"/>
      <c r="D122" s="152"/>
      <c r="E122" s="152"/>
      <c r="F122" s="152"/>
      <c r="G122" s="152"/>
      <c r="H122" s="152"/>
      <c r="I122" s="152"/>
      <c r="J122" s="152"/>
      <c r="K122" s="152"/>
      <c r="L122" s="152"/>
      <c r="M122" s="153"/>
      <c r="N122" s="153"/>
      <c r="O122" s="153"/>
      <c r="P122" s="153"/>
      <c r="Q122" s="152"/>
      <c r="R122" s="152"/>
    </row>
    <row r="123" customFormat="false" ht="12" hidden="false" customHeight="true" outlineLevel="0" collapsed="false">
      <c r="A123" s="152"/>
      <c r="B123" s="152"/>
      <c r="C123" s="152"/>
      <c r="D123" s="152"/>
      <c r="E123" s="152"/>
      <c r="F123" s="152"/>
      <c r="G123" s="152"/>
      <c r="H123" s="152"/>
      <c r="I123" s="152"/>
      <c r="J123" s="152"/>
      <c r="K123" s="152"/>
      <c r="L123" s="152"/>
      <c r="M123" s="153"/>
      <c r="N123" s="153"/>
      <c r="O123" s="153"/>
      <c r="P123" s="153"/>
      <c r="Q123" s="152"/>
      <c r="R123" s="152"/>
    </row>
    <row r="124" customFormat="false" ht="12" hidden="false" customHeight="true" outlineLevel="0" collapsed="false">
      <c r="A124" s="152"/>
      <c r="B124" s="152"/>
      <c r="C124" s="152"/>
      <c r="D124" s="152"/>
      <c r="E124" s="152"/>
      <c r="F124" s="152"/>
      <c r="G124" s="152"/>
      <c r="H124" s="152"/>
      <c r="I124" s="152"/>
      <c r="J124" s="152"/>
      <c r="K124" s="152"/>
      <c r="L124" s="152"/>
      <c r="M124" s="153"/>
      <c r="N124" s="153"/>
      <c r="O124" s="153"/>
      <c r="P124" s="153"/>
      <c r="Q124" s="152"/>
      <c r="R124" s="152"/>
    </row>
    <row r="125" customFormat="false" ht="12" hidden="false" customHeight="true" outlineLevel="0" collapsed="false">
      <c r="A125" s="152"/>
      <c r="B125" s="152"/>
      <c r="C125" s="152"/>
      <c r="D125" s="152"/>
      <c r="E125" s="152"/>
      <c r="F125" s="152"/>
      <c r="G125" s="152"/>
      <c r="H125" s="152"/>
      <c r="I125" s="152"/>
      <c r="J125" s="152"/>
      <c r="K125" s="152"/>
      <c r="L125" s="152"/>
      <c r="M125" s="153"/>
      <c r="N125" s="153"/>
      <c r="O125" s="153"/>
      <c r="P125" s="153"/>
      <c r="Q125" s="152"/>
      <c r="R125" s="152"/>
    </row>
    <row r="126" customFormat="false" ht="12" hidden="false" customHeight="true" outlineLevel="0" collapsed="false">
      <c r="A126" s="152"/>
      <c r="B126" s="152"/>
      <c r="C126" s="152"/>
      <c r="D126" s="152"/>
      <c r="E126" s="152"/>
      <c r="F126" s="152"/>
      <c r="G126" s="152"/>
      <c r="H126" s="152"/>
      <c r="I126" s="152"/>
      <c r="J126" s="152"/>
      <c r="K126" s="152"/>
      <c r="L126" s="152"/>
      <c r="M126" s="153"/>
      <c r="N126" s="153"/>
      <c r="O126" s="153"/>
      <c r="P126" s="153"/>
      <c r="Q126" s="152"/>
      <c r="R126" s="152"/>
    </row>
    <row r="127" customFormat="false" ht="12" hidden="false" customHeight="true" outlineLevel="0" collapsed="false">
      <c r="A127" s="152"/>
      <c r="B127" s="152"/>
      <c r="C127" s="152"/>
      <c r="D127" s="152"/>
      <c r="E127" s="152"/>
      <c r="F127" s="152"/>
      <c r="G127" s="152"/>
      <c r="H127" s="152"/>
      <c r="I127" s="152"/>
      <c r="J127" s="152"/>
      <c r="K127" s="152"/>
      <c r="L127" s="152"/>
      <c r="M127" s="153"/>
      <c r="N127" s="153"/>
      <c r="O127" s="153"/>
      <c r="P127" s="153"/>
      <c r="Q127" s="152"/>
      <c r="R127" s="152"/>
    </row>
    <row r="128" customFormat="false" ht="12" hidden="false" customHeight="true" outlineLevel="0" collapsed="false">
      <c r="A128" s="152"/>
      <c r="B128" s="152"/>
      <c r="C128" s="152"/>
      <c r="D128" s="152"/>
      <c r="E128" s="152"/>
      <c r="F128" s="152"/>
      <c r="G128" s="152"/>
      <c r="H128" s="152"/>
      <c r="I128" s="152"/>
      <c r="J128" s="152"/>
      <c r="K128" s="152"/>
      <c r="L128" s="152"/>
      <c r="M128" s="153"/>
      <c r="N128" s="153"/>
      <c r="O128" s="153"/>
      <c r="P128" s="153"/>
      <c r="Q128" s="152"/>
      <c r="R128" s="152"/>
    </row>
    <row r="129" customFormat="false" ht="12" hidden="false" customHeight="true" outlineLevel="0" collapsed="false">
      <c r="A129" s="152"/>
      <c r="B129" s="152"/>
      <c r="C129" s="152"/>
      <c r="D129" s="152"/>
      <c r="E129" s="152"/>
      <c r="F129" s="152"/>
      <c r="G129" s="152"/>
      <c r="H129" s="152"/>
      <c r="I129" s="152"/>
      <c r="J129" s="152"/>
      <c r="K129" s="152"/>
      <c r="L129" s="152"/>
      <c r="M129" s="153"/>
      <c r="N129" s="153"/>
      <c r="O129" s="153"/>
      <c r="P129" s="153"/>
      <c r="Q129" s="152"/>
      <c r="R129" s="152"/>
    </row>
    <row r="130" customFormat="false" ht="12" hidden="false" customHeight="true" outlineLevel="0" collapsed="false">
      <c r="A130" s="152"/>
      <c r="B130" s="152"/>
      <c r="C130" s="152"/>
      <c r="D130" s="152"/>
      <c r="E130" s="152"/>
      <c r="F130" s="152"/>
      <c r="G130" s="152"/>
      <c r="H130" s="152"/>
      <c r="I130" s="152"/>
      <c r="J130" s="152"/>
      <c r="K130" s="152"/>
      <c r="L130" s="152"/>
      <c r="M130" s="153"/>
      <c r="N130" s="153"/>
      <c r="O130" s="153"/>
      <c r="P130" s="153"/>
      <c r="Q130" s="152"/>
      <c r="R130" s="152"/>
    </row>
    <row r="131" customFormat="false" ht="12" hidden="false" customHeight="true" outlineLevel="0" collapsed="false">
      <c r="A131" s="152"/>
      <c r="B131" s="152"/>
      <c r="C131" s="152"/>
      <c r="D131" s="152"/>
      <c r="E131" s="152"/>
      <c r="F131" s="152"/>
      <c r="G131" s="152"/>
      <c r="H131" s="152"/>
      <c r="I131" s="152"/>
      <c r="J131" s="152"/>
      <c r="K131" s="152"/>
      <c r="L131" s="152"/>
      <c r="M131" s="153"/>
      <c r="N131" s="153"/>
      <c r="O131" s="153"/>
      <c r="P131" s="153"/>
      <c r="Q131" s="152"/>
      <c r="R131" s="152"/>
    </row>
    <row r="132" customFormat="false" ht="12" hidden="false" customHeight="true" outlineLevel="0" collapsed="false">
      <c r="A132" s="152"/>
      <c r="B132" s="152"/>
      <c r="C132" s="152"/>
      <c r="D132" s="152"/>
      <c r="E132" s="152"/>
      <c r="F132" s="152"/>
      <c r="G132" s="152"/>
      <c r="H132" s="152"/>
      <c r="I132" s="152"/>
      <c r="J132" s="152"/>
      <c r="K132" s="152"/>
      <c r="L132" s="152"/>
      <c r="M132" s="153"/>
      <c r="N132" s="153"/>
      <c r="O132" s="153"/>
      <c r="P132" s="153"/>
      <c r="Q132" s="152"/>
      <c r="R132" s="152"/>
    </row>
    <row r="133" customFormat="false" ht="12" hidden="false" customHeight="true" outlineLevel="0" collapsed="false">
      <c r="A133" s="152"/>
      <c r="B133" s="152"/>
      <c r="C133" s="152"/>
      <c r="D133" s="152"/>
      <c r="E133" s="152"/>
      <c r="F133" s="152"/>
      <c r="G133" s="152"/>
      <c r="H133" s="152"/>
      <c r="I133" s="152"/>
      <c r="J133" s="152"/>
      <c r="K133" s="152"/>
      <c r="L133" s="152"/>
      <c r="M133" s="153"/>
      <c r="N133" s="153"/>
      <c r="O133" s="153"/>
      <c r="P133" s="153"/>
      <c r="Q133" s="152"/>
      <c r="R133" s="152"/>
    </row>
    <row r="134" customFormat="false" ht="12" hidden="false" customHeight="true" outlineLevel="0" collapsed="false">
      <c r="A134" s="152"/>
      <c r="B134" s="152"/>
      <c r="C134" s="152"/>
      <c r="D134" s="152"/>
      <c r="E134" s="152"/>
      <c r="F134" s="152"/>
      <c r="G134" s="152"/>
      <c r="H134" s="152"/>
      <c r="I134" s="152"/>
      <c r="J134" s="152"/>
      <c r="K134" s="152"/>
      <c r="L134" s="152"/>
      <c r="M134" s="153"/>
      <c r="N134" s="153"/>
      <c r="O134" s="153"/>
      <c r="P134" s="153"/>
      <c r="Q134" s="152"/>
      <c r="R134" s="152"/>
    </row>
    <row r="135" customFormat="false" ht="12" hidden="false" customHeight="true" outlineLevel="0" collapsed="false">
      <c r="A135" s="152"/>
      <c r="B135" s="152"/>
      <c r="C135" s="152"/>
      <c r="D135" s="152"/>
      <c r="E135" s="152"/>
      <c r="F135" s="152"/>
      <c r="G135" s="152"/>
      <c r="H135" s="152"/>
      <c r="I135" s="152"/>
      <c r="J135" s="152"/>
      <c r="K135" s="152"/>
      <c r="L135" s="152"/>
      <c r="M135" s="153"/>
      <c r="N135" s="153"/>
      <c r="O135" s="153"/>
      <c r="P135" s="153"/>
      <c r="Q135" s="152"/>
      <c r="R135" s="152"/>
    </row>
    <row r="136" customFormat="false" ht="12" hidden="false" customHeight="true" outlineLevel="0" collapsed="false">
      <c r="A136" s="324"/>
      <c r="B136" s="152"/>
      <c r="C136" s="152"/>
      <c r="D136" s="152"/>
      <c r="E136" s="152"/>
      <c r="F136" s="152"/>
      <c r="G136" s="152"/>
      <c r="H136" s="152"/>
      <c r="I136" s="152"/>
      <c r="J136" s="152"/>
      <c r="K136" s="152"/>
      <c r="L136" s="152"/>
      <c r="M136" s="153"/>
      <c r="N136" s="153"/>
      <c r="O136" s="153"/>
      <c r="P136" s="153"/>
      <c r="Q136" s="152"/>
      <c r="R136" s="152"/>
    </row>
    <row r="137" customFormat="false" ht="12" hidden="false" customHeight="true" outlineLevel="0" collapsed="false">
      <c r="A137" s="324"/>
      <c r="B137" s="152"/>
      <c r="C137" s="152"/>
      <c r="D137" s="152"/>
      <c r="E137" s="152"/>
      <c r="F137" s="152"/>
      <c r="G137" s="152"/>
      <c r="H137" s="152"/>
      <c r="I137" s="152"/>
      <c r="J137" s="152"/>
      <c r="K137" s="152"/>
      <c r="L137" s="152"/>
      <c r="M137" s="153"/>
      <c r="N137" s="153"/>
      <c r="O137" s="153"/>
      <c r="P137" s="153"/>
      <c r="Q137" s="152"/>
      <c r="R137" s="152"/>
    </row>
    <row r="138" customFormat="false" ht="12" hidden="false" customHeight="true" outlineLevel="0" collapsed="false">
      <c r="A138" s="324"/>
      <c r="B138" s="152"/>
      <c r="C138" s="152"/>
      <c r="D138" s="152"/>
      <c r="E138" s="152"/>
      <c r="F138" s="152"/>
      <c r="G138" s="152"/>
      <c r="H138" s="152"/>
      <c r="I138" s="152"/>
      <c r="J138" s="152"/>
      <c r="K138" s="152"/>
      <c r="L138" s="152"/>
      <c r="M138" s="153"/>
      <c r="N138" s="153"/>
      <c r="O138" s="153"/>
      <c r="P138" s="153"/>
      <c r="Q138" s="152"/>
      <c r="R138" s="152"/>
    </row>
    <row r="139" customFormat="false" ht="12" hidden="false" customHeight="true" outlineLevel="0" collapsed="false">
      <c r="A139" s="152"/>
      <c r="B139" s="152"/>
      <c r="C139" s="152"/>
      <c r="D139" s="152"/>
      <c r="E139" s="152"/>
      <c r="F139" s="152"/>
      <c r="G139" s="152"/>
      <c r="H139" s="152"/>
      <c r="I139" s="152"/>
      <c r="J139" s="152"/>
      <c r="K139" s="152"/>
      <c r="L139" s="152"/>
      <c r="M139" s="153"/>
      <c r="N139" s="153"/>
      <c r="O139" s="153"/>
      <c r="P139" s="153"/>
      <c r="Q139" s="152"/>
      <c r="R139" s="152"/>
    </row>
    <row r="140" customFormat="false" ht="12" hidden="false" customHeight="true" outlineLevel="0" collapsed="false">
      <c r="A140" s="152"/>
      <c r="B140" s="152"/>
      <c r="C140" s="152"/>
      <c r="D140" s="152"/>
      <c r="E140" s="152"/>
      <c r="F140" s="152"/>
      <c r="G140" s="152"/>
      <c r="H140" s="152"/>
      <c r="I140" s="152"/>
      <c r="J140" s="152"/>
      <c r="K140" s="152"/>
      <c r="L140" s="152"/>
      <c r="M140" s="153"/>
      <c r="N140" s="153"/>
      <c r="O140" s="153"/>
      <c r="P140" s="153"/>
      <c r="Q140" s="152"/>
      <c r="R140" s="152"/>
    </row>
    <row r="141" customFormat="false" ht="12" hidden="false" customHeight="true" outlineLevel="0" collapsed="false">
      <c r="A141" s="152"/>
      <c r="B141" s="152"/>
      <c r="C141" s="152"/>
      <c r="D141" s="152"/>
      <c r="E141" s="152"/>
      <c r="F141" s="152"/>
      <c r="G141" s="152"/>
      <c r="H141" s="152"/>
      <c r="I141" s="152"/>
      <c r="J141" s="152"/>
      <c r="K141" s="152"/>
      <c r="L141" s="152"/>
      <c r="M141" s="153"/>
      <c r="N141" s="153"/>
      <c r="O141" s="153"/>
      <c r="P141" s="153"/>
      <c r="Q141" s="152"/>
      <c r="R141" s="152"/>
    </row>
    <row r="142" customFormat="false" ht="12" hidden="false" customHeight="true" outlineLevel="0" collapsed="false">
      <c r="A142" s="152"/>
      <c r="B142" s="152"/>
      <c r="C142" s="152"/>
      <c r="D142" s="152"/>
      <c r="E142" s="152"/>
      <c r="F142" s="152"/>
      <c r="G142" s="152"/>
      <c r="H142" s="152"/>
      <c r="I142" s="152"/>
      <c r="J142" s="152"/>
      <c r="K142" s="152"/>
      <c r="L142" s="152"/>
      <c r="M142" s="153"/>
      <c r="N142" s="153"/>
      <c r="O142" s="153"/>
      <c r="P142" s="153"/>
      <c r="Q142" s="152"/>
      <c r="R142" s="152"/>
    </row>
    <row r="143" customFormat="false" ht="12" hidden="false" customHeight="true" outlineLevel="0" collapsed="false">
      <c r="A143" s="152"/>
      <c r="B143" s="152"/>
      <c r="C143" s="152"/>
      <c r="D143" s="152"/>
      <c r="E143" s="152"/>
      <c r="F143" s="152"/>
      <c r="G143" s="152"/>
      <c r="H143" s="152"/>
      <c r="I143" s="152"/>
      <c r="J143" s="152"/>
      <c r="K143" s="152"/>
      <c r="L143" s="152"/>
      <c r="M143" s="153"/>
      <c r="N143" s="153"/>
      <c r="O143" s="153"/>
      <c r="P143" s="153"/>
      <c r="Q143" s="152"/>
      <c r="R143" s="152"/>
    </row>
    <row r="144" customFormat="false" ht="12" hidden="false" customHeight="true" outlineLevel="0" collapsed="false">
      <c r="A144" s="152"/>
      <c r="B144" s="152"/>
      <c r="C144" s="152"/>
      <c r="D144" s="152"/>
      <c r="E144" s="152"/>
      <c r="F144" s="152"/>
      <c r="G144" s="152"/>
      <c r="H144" s="152"/>
      <c r="I144" s="152"/>
      <c r="J144" s="152"/>
      <c r="K144" s="152"/>
      <c r="L144" s="152"/>
      <c r="M144" s="153"/>
      <c r="N144" s="153"/>
      <c r="O144" s="153"/>
      <c r="P144" s="153"/>
      <c r="Q144" s="152"/>
      <c r="R144" s="152"/>
    </row>
    <row r="145" customFormat="false" ht="12" hidden="false" customHeight="true" outlineLevel="0" collapsed="false">
      <c r="A145" s="152"/>
      <c r="B145" s="152"/>
      <c r="C145" s="152"/>
      <c r="D145" s="152"/>
      <c r="E145" s="152"/>
      <c r="F145" s="152"/>
      <c r="G145" s="152"/>
      <c r="H145" s="152"/>
      <c r="I145" s="152"/>
      <c r="J145" s="152"/>
      <c r="K145" s="152"/>
      <c r="L145" s="152"/>
      <c r="M145" s="153"/>
      <c r="N145" s="153"/>
      <c r="O145" s="153"/>
      <c r="P145" s="153"/>
      <c r="Q145" s="152"/>
      <c r="R145" s="152"/>
    </row>
    <row r="146" customFormat="false" ht="12" hidden="false" customHeight="true" outlineLevel="0" collapsed="false">
      <c r="A146" s="152"/>
      <c r="B146" s="152"/>
      <c r="C146" s="152"/>
      <c r="D146" s="152"/>
      <c r="E146" s="152"/>
      <c r="F146" s="152"/>
      <c r="G146" s="152"/>
      <c r="H146" s="152"/>
      <c r="I146" s="152"/>
      <c r="J146" s="152"/>
      <c r="K146" s="152"/>
      <c r="L146" s="152"/>
      <c r="M146" s="153"/>
      <c r="N146" s="153"/>
      <c r="O146" s="153"/>
      <c r="P146" s="153"/>
      <c r="Q146" s="152"/>
      <c r="R146" s="152"/>
    </row>
    <row r="147" customFormat="false" ht="12" hidden="false" customHeight="true" outlineLevel="0" collapsed="false">
      <c r="A147" s="152"/>
      <c r="B147" s="152"/>
      <c r="C147" s="152"/>
      <c r="D147" s="152"/>
      <c r="E147" s="152"/>
      <c r="F147" s="152"/>
      <c r="G147" s="152"/>
      <c r="H147" s="152"/>
      <c r="I147" s="152"/>
      <c r="J147" s="152"/>
      <c r="K147" s="152"/>
      <c r="L147" s="152"/>
      <c r="M147" s="153"/>
      <c r="N147" s="153"/>
      <c r="O147" s="153"/>
      <c r="P147" s="153"/>
      <c r="Q147" s="152"/>
      <c r="R147" s="152"/>
    </row>
    <row r="148" customFormat="false" ht="12" hidden="false" customHeight="true" outlineLevel="0" collapsed="false">
      <c r="A148" s="152"/>
      <c r="B148" s="152"/>
      <c r="C148" s="152"/>
      <c r="D148" s="152"/>
      <c r="E148" s="152"/>
      <c r="F148" s="152"/>
      <c r="G148" s="152"/>
      <c r="H148" s="152"/>
      <c r="I148" s="152"/>
      <c r="J148" s="152"/>
      <c r="K148" s="152"/>
      <c r="L148" s="152"/>
      <c r="M148" s="153"/>
      <c r="N148" s="153"/>
      <c r="O148" s="153"/>
      <c r="P148" s="153"/>
      <c r="Q148" s="152"/>
      <c r="R148" s="152"/>
    </row>
    <row r="149" customFormat="false" ht="12" hidden="false" customHeight="true" outlineLevel="0" collapsed="false">
      <c r="A149" s="152"/>
      <c r="B149" s="152"/>
      <c r="C149" s="152"/>
      <c r="D149" s="152"/>
      <c r="E149" s="152"/>
      <c r="F149" s="152"/>
      <c r="G149" s="152"/>
      <c r="H149" s="152"/>
      <c r="I149" s="152"/>
      <c r="J149" s="152"/>
      <c r="K149" s="152"/>
      <c r="L149" s="152"/>
      <c r="M149" s="153"/>
      <c r="N149" s="153"/>
      <c r="O149" s="153"/>
      <c r="P149" s="153"/>
      <c r="Q149" s="152"/>
      <c r="R149" s="152"/>
    </row>
    <row r="150" customFormat="false" ht="12" hidden="false" customHeight="true" outlineLevel="0" collapsed="false">
      <c r="A150" s="152"/>
      <c r="B150" s="152"/>
      <c r="C150" s="152"/>
      <c r="D150" s="152"/>
      <c r="E150" s="152"/>
      <c r="F150" s="152"/>
      <c r="G150" s="152"/>
      <c r="H150" s="152"/>
      <c r="I150" s="152"/>
      <c r="J150" s="152"/>
      <c r="K150" s="152"/>
      <c r="L150" s="152"/>
      <c r="M150" s="153"/>
      <c r="N150" s="153"/>
      <c r="O150" s="153"/>
      <c r="P150" s="153"/>
      <c r="Q150" s="152"/>
      <c r="R150" s="152"/>
    </row>
    <row r="151" customFormat="false" ht="12" hidden="false" customHeight="true" outlineLevel="0" collapsed="false">
      <c r="A151" s="152"/>
      <c r="B151" s="152"/>
      <c r="C151" s="152"/>
      <c r="D151" s="152"/>
      <c r="E151" s="152"/>
      <c r="F151" s="152"/>
      <c r="G151" s="152"/>
      <c r="H151" s="152"/>
      <c r="I151" s="152"/>
      <c r="J151" s="152"/>
      <c r="K151" s="152"/>
      <c r="L151" s="152"/>
      <c r="M151" s="153"/>
      <c r="N151" s="153"/>
      <c r="O151" s="153"/>
      <c r="P151" s="153"/>
      <c r="Q151" s="152"/>
      <c r="R151" s="152"/>
    </row>
    <row r="152" customFormat="false" ht="12" hidden="false" customHeight="true" outlineLevel="0" collapsed="false">
      <c r="A152" s="152"/>
      <c r="B152" s="152"/>
      <c r="C152" s="152"/>
      <c r="D152" s="152"/>
      <c r="E152" s="152"/>
      <c r="F152" s="152"/>
      <c r="G152" s="152"/>
      <c r="H152" s="152"/>
      <c r="I152" s="152"/>
      <c r="J152" s="152"/>
      <c r="K152" s="152"/>
      <c r="L152" s="152"/>
      <c r="M152" s="153"/>
      <c r="N152" s="153"/>
      <c r="O152" s="153"/>
      <c r="P152" s="153"/>
      <c r="Q152" s="152"/>
      <c r="R152" s="152"/>
    </row>
    <row r="153" customFormat="false" ht="12" hidden="false" customHeight="true" outlineLevel="0" collapsed="false">
      <c r="A153" s="152"/>
      <c r="B153" s="152"/>
      <c r="C153" s="152"/>
      <c r="D153" s="152"/>
      <c r="E153" s="152"/>
      <c r="F153" s="152"/>
      <c r="G153" s="152"/>
      <c r="H153" s="152"/>
      <c r="I153" s="152"/>
      <c r="J153" s="152"/>
      <c r="K153" s="152"/>
      <c r="L153" s="152"/>
      <c r="M153" s="153"/>
      <c r="N153" s="153"/>
      <c r="O153" s="153"/>
      <c r="P153" s="153"/>
      <c r="Q153" s="152"/>
      <c r="R153" s="152"/>
    </row>
    <row r="154" customFormat="false" ht="12" hidden="false" customHeight="true" outlineLevel="0" collapsed="false">
      <c r="A154" s="152"/>
      <c r="B154" s="152"/>
      <c r="C154" s="152"/>
      <c r="D154" s="152"/>
      <c r="E154" s="152"/>
      <c r="F154" s="152"/>
      <c r="G154" s="152"/>
      <c r="H154" s="152"/>
      <c r="I154" s="152"/>
      <c r="J154" s="152"/>
      <c r="K154" s="152"/>
      <c r="L154" s="152"/>
      <c r="M154" s="153"/>
      <c r="N154" s="153"/>
      <c r="O154" s="153"/>
      <c r="P154" s="153"/>
      <c r="Q154" s="152"/>
      <c r="R154" s="152"/>
    </row>
    <row r="155" customFormat="false" ht="12" hidden="false" customHeight="true" outlineLevel="0" collapsed="false">
      <c r="A155" s="152"/>
      <c r="B155" s="152"/>
      <c r="C155" s="152"/>
      <c r="D155" s="152"/>
      <c r="E155" s="152"/>
      <c r="F155" s="152"/>
      <c r="G155" s="152"/>
      <c r="H155" s="152"/>
      <c r="I155" s="152"/>
      <c r="J155" s="152"/>
      <c r="K155" s="152"/>
      <c r="L155" s="152"/>
      <c r="M155" s="153"/>
      <c r="N155" s="153"/>
      <c r="O155" s="153"/>
      <c r="P155" s="153"/>
      <c r="Q155" s="152"/>
      <c r="R155" s="152"/>
    </row>
    <row r="156" customFormat="false" ht="12" hidden="false" customHeight="true" outlineLevel="0" collapsed="false">
      <c r="A156" s="152"/>
      <c r="B156" s="152"/>
      <c r="C156" s="152"/>
      <c r="D156" s="152"/>
      <c r="E156" s="152"/>
      <c r="F156" s="152"/>
      <c r="G156" s="152"/>
      <c r="H156" s="152"/>
      <c r="I156" s="152"/>
      <c r="J156" s="152"/>
      <c r="K156" s="152"/>
      <c r="L156" s="152"/>
      <c r="M156" s="153"/>
      <c r="N156" s="153"/>
      <c r="O156" s="153"/>
      <c r="P156" s="153"/>
      <c r="Q156" s="152"/>
      <c r="R156" s="152"/>
    </row>
    <row r="157" customFormat="false" ht="12" hidden="false" customHeight="true" outlineLevel="0" collapsed="false">
      <c r="A157" s="152"/>
      <c r="B157" s="152"/>
      <c r="C157" s="152"/>
      <c r="D157" s="152"/>
      <c r="E157" s="152"/>
      <c r="F157" s="152"/>
      <c r="G157" s="152"/>
      <c r="H157" s="152"/>
      <c r="I157" s="152"/>
      <c r="J157" s="152"/>
      <c r="K157" s="152"/>
      <c r="L157" s="152"/>
      <c r="M157" s="153"/>
      <c r="N157" s="153"/>
      <c r="O157" s="153"/>
      <c r="P157" s="153"/>
      <c r="Q157" s="152"/>
      <c r="R157" s="152"/>
    </row>
    <row r="158" customFormat="false" ht="12" hidden="false" customHeight="true" outlineLevel="0" collapsed="false">
      <c r="A158" s="152"/>
      <c r="B158" s="152"/>
      <c r="C158" s="152"/>
      <c r="D158" s="152"/>
      <c r="E158" s="152"/>
      <c r="F158" s="152"/>
      <c r="G158" s="152"/>
      <c r="H158" s="152"/>
      <c r="I158" s="152"/>
      <c r="J158" s="152"/>
      <c r="K158" s="152"/>
      <c r="L158" s="152"/>
      <c r="M158" s="153"/>
      <c r="N158" s="153"/>
      <c r="O158" s="153"/>
      <c r="P158" s="153"/>
      <c r="Q158" s="152"/>
      <c r="R158" s="152"/>
    </row>
    <row r="159" customFormat="false" ht="12" hidden="false" customHeight="true" outlineLevel="0" collapsed="false">
      <c r="A159" s="152"/>
      <c r="B159" s="152"/>
      <c r="C159" s="152"/>
      <c r="D159" s="152"/>
      <c r="E159" s="152"/>
      <c r="F159" s="152"/>
      <c r="G159" s="152"/>
      <c r="H159" s="152"/>
      <c r="I159" s="152"/>
      <c r="J159" s="152"/>
      <c r="K159" s="152"/>
      <c r="L159" s="152"/>
      <c r="M159" s="153"/>
      <c r="N159" s="153"/>
      <c r="O159" s="153"/>
      <c r="P159" s="153"/>
      <c r="Q159" s="152"/>
      <c r="R159" s="152"/>
    </row>
    <row r="160" customFormat="false" ht="12" hidden="false" customHeight="true" outlineLevel="0" collapsed="false">
      <c r="A160" s="152"/>
      <c r="B160" s="152"/>
      <c r="C160" s="152"/>
      <c r="D160" s="152"/>
      <c r="E160" s="152"/>
      <c r="F160" s="152"/>
      <c r="G160" s="152"/>
      <c r="H160" s="152"/>
      <c r="I160" s="152"/>
      <c r="J160" s="152"/>
      <c r="K160" s="152"/>
      <c r="L160" s="152"/>
      <c r="M160" s="153"/>
      <c r="N160" s="153"/>
      <c r="O160" s="153"/>
      <c r="P160" s="153"/>
      <c r="Q160" s="152"/>
      <c r="R160" s="152"/>
    </row>
    <row r="161" customFormat="false" ht="12" hidden="false" customHeight="true" outlineLevel="0" collapsed="false">
      <c r="A161" s="152"/>
      <c r="B161" s="152"/>
      <c r="C161" s="152"/>
      <c r="D161" s="152"/>
      <c r="E161" s="152"/>
      <c r="F161" s="152"/>
      <c r="G161" s="152"/>
      <c r="H161" s="152"/>
      <c r="I161" s="152"/>
      <c r="J161" s="152"/>
      <c r="K161" s="152"/>
      <c r="L161" s="152"/>
      <c r="M161" s="153"/>
      <c r="N161" s="153"/>
      <c r="O161" s="153"/>
      <c r="P161" s="153"/>
      <c r="Q161" s="152"/>
      <c r="R161" s="152"/>
    </row>
    <row r="162" customFormat="false" ht="12" hidden="false" customHeight="true" outlineLevel="0" collapsed="false">
      <c r="A162" s="152"/>
      <c r="B162" s="152"/>
      <c r="C162" s="152"/>
      <c r="D162" s="152"/>
      <c r="E162" s="152"/>
      <c r="F162" s="152"/>
      <c r="G162" s="152"/>
      <c r="H162" s="152"/>
      <c r="I162" s="152"/>
      <c r="J162" s="152"/>
      <c r="K162" s="152"/>
      <c r="L162" s="152"/>
      <c r="M162" s="153"/>
      <c r="N162" s="153"/>
      <c r="O162" s="153"/>
      <c r="P162" s="153"/>
      <c r="Q162" s="152"/>
      <c r="R162" s="152"/>
    </row>
    <row r="163" customFormat="false" ht="12" hidden="false" customHeight="true" outlineLevel="0" collapsed="false">
      <c r="A163" s="152"/>
      <c r="B163" s="152"/>
      <c r="C163" s="152"/>
      <c r="D163" s="152"/>
      <c r="E163" s="152"/>
      <c r="F163" s="152"/>
      <c r="G163" s="152"/>
      <c r="H163" s="152"/>
      <c r="I163" s="152"/>
      <c r="J163" s="152"/>
      <c r="K163" s="152"/>
      <c r="L163" s="152"/>
      <c r="M163" s="153"/>
      <c r="N163" s="153"/>
      <c r="O163" s="153"/>
      <c r="P163" s="153"/>
      <c r="Q163" s="152"/>
      <c r="R163" s="152"/>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5" width="2.71"/>
    <col collapsed="false" customWidth="true" hidden="false" outlineLevel="0" max="2" min="2" style="325" width="22.28"/>
    <col collapsed="false" customWidth="true" hidden="false" outlineLevel="0" max="3" min="3" style="325" width="3.98"/>
    <col collapsed="false" customWidth="true" hidden="false" outlineLevel="0" max="4" min="4" style="325" width="2.99"/>
    <col collapsed="false" customWidth="true" hidden="false" outlineLevel="0" max="5" min="5" style="325" width="3.98"/>
    <col collapsed="false" customWidth="true" hidden="false" outlineLevel="0" max="6" min="6" style="325" width="16.29"/>
    <col collapsed="false" customWidth="true" hidden="false" outlineLevel="0" max="7" min="7" style="325" width="3.98"/>
    <col collapsed="false" customWidth="true" hidden="false" outlineLevel="0" max="8" min="8" style="325" width="2.99"/>
    <col collapsed="false" customWidth="true" hidden="false" outlineLevel="0" max="9" min="9" style="325" width="3.98"/>
    <col collapsed="false" customWidth="true" hidden="false" outlineLevel="0" max="10" min="10" style="325" width="17.71"/>
    <col collapsed="false" customWidth="true" hidden="false" outlineLevel="0" max="11" min="11" style="325" width="3.98"/>
    <col collapsed="false" customWidth="true" hidden="false" outlineLevel="0" max="12" min="12" style="325" width="2.99"/>
    <col collapsed="false" customWidth="true" hidden="false" outlineLevel="0" max="13" min="13" style="325" width="7.29"/>
    <col collapsed="false" customWidth="true" hidden="false" outlineLevel="0" max="14" min="14" style="325" width="21.29"/>
    <col collapsed="false" customWidth="true" hidden="false" outlineLevel="0" max="15" min="15" style="325" width="3.98"/>
    <col collapsed="false" customWidth="true" hidden="false" outlineLevel="0" max="16" min="16" style="325" width="2.99"/>
    <col collapsed="false" customWidth="true" hidden="false" outlineLevel="0" max="17" min="17" style="325" width="3.98"/>
    <col collapsed="false" customWidth="true" hidden="false" outlineLevel="0" max="18" min="18" style="325" width="20.98"/>
    <col collapsed="false" customWidth="false" hidden="false" outlineLevel="0" max="1024" min="19" style="325"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6"/>
      <c r="D2" s="326"/>
      <c r="E2" s="326"/>
      <c r="F2" s="326"/>
      <c r="G2" s="327"/>
      <c r="H2" s="328"/>
      <c r="I2" s="329" t="str">
        <f aca="false">'12.lan'!D212</f>
        <v>Note: This is not a certificate.</v>
      </c>
      <c r="J2" s="329"/>
      <c r="K2" s="329"/>
      <c r="L2" s="329"/>
      <c r="M2" s="329"/>
      <c r="N2" s="329"/>
      <c r="O2" s="329"/>
      <c r="P2" s="18"/>
      <c r="Q2" s="18"/>
      <c r="R2" s="18"/>
    </row>
    <row r="3" customFormat="false" ht="5.25" hidden="false" customHeight="true" outlineLevel="0" collapsed="false">
      <c r="A3" s="18"/>
      <c r="B3" s="330" t="str">
        <f aca="false">'12.lan'!D213</f>
        <v>COMMON GOOD MATRIX</v>
      </c>
      <c r="C3" s="330"/>
      <c r="D3" s="330"/>
      <c r="E3" s="330"/>
      <c r="F3" s="330"/>
      <c r="G3" s="330"/>
      <c r="H3" s="331"/>
      <c r="I3" s="331"/>
      <c r="J3" s="331"/>
      <c r="K3" s="18"/>
      <c r="L3" s="18"/>
      <c r="M3" s="332"/>
      <c r="N3" s="332"/>
      <c r="O3" s="332"/>
      <c r="P3" s="18"/>
      <c r="Q3" s="18"/>
      <c r="R3" s="18"/>
    </row>
    <row r="4" customFormat="false" ht="15" hidden="false" customHeight="true" outlineLevel="0" collapsed="false">
      <c r="A4" s="18"/>
      <c r="B4" s="330"/>
      <c r="C4" s="330"/>
      <c r="D4" s="330"/>
      <c r="E4" s="330"/>
      <c r="F4" s="330"/>
      <c r="G4" s="330"/>
      <c r="H4" s="331"/>
      <c r="I4" s="333" t="str">
        <f aca="false">'12.lan'!D92</f>
        <v>Total Balance Score:</v>
      </c>
      <c r="J4" s="333"/>
      <c r="K4" s="334" t="n">
        <f aca="false">'3. Calc'!I4</f>
        <v>223.333333333333</v>
      </c>
      <c r="L4" s="334"/>
      <c r="M4" s="335" t="str">
        <f aca="false">'12.lan'!D214&amp;" "&amp;'3. Calc'!$J$4&amp;'12.lan'!D215</f>
        <v>of 1000points</v>
      </c>
      <c r="N4" s="335"/>
      <c r="O4" s="335"/>
      <c r="P4" s="18"/>
      <c r="Q4" s="18"/>
      <c r="R4" s="18"/>
    </row>
    <row r="5" customFormat="false" ht="12.75" hidden="false" customHeight="true" outlineLevel="0" collapsed="false">
      <c r="A5" s="18"/>
      <c r="B5" s="19" t="str">
        <f aca="false">'12.lan'!D82&amp;": "&amp;'1. General'!C6&amp;"; "&amp;'12.lan'!D83&amp;": "&amp;'1. General'!C12</f>
        <v>Company / Organisation: company; Period under review:</v>
      </c>
      <c r="C5" s="51"/>
      <c r="D5" s="51"/>
      <c r="E5" s="51"/>
      <c r="F5" s="336"/>
      <c r="G5" s="327"/>
      <c r="H5" s="328"/>
      <c r="I5" s="333"/>
      <c r="J5" s="333"/>
      <c r="K5" s="334"/>
      <c r="L5" s="334"/>
      <c r="M5" s="335"/>
      <c r="N5" s="335"/>
      <c r="O5" s="335"/>
      <c r="P5" s="18"/>
      <c r="Q5" s="18"/>
      <c r="R5" s="18"/>
    </row>
    <row r="6" customFormat="false" ht="18" hidden="false" customHeight="true" outlineLevel="0" collapsed="false">
      <c r="A6" s="18"/>
      <c r="B6" s="18"/>
      <c r="C6" s="18"/>
      <c r="D6" s="18"/>
      <c r="E6" s="18"/>
      <c r="F6" s="18"/>
      <c r="G6" s="18"/>
      <c r="H6" s="18"/>
      <c r="I6" s="18"/>
      <c r="J6" s="18"/>
      <c r="K6" s="18"/>
      <c r="L6" s="18"/>
      <c r="M6" s="337"/>
      <c r="N6" s="337"/>
      <c r="O6" s="337"/>
      <c r="P6" s="18"/>
      <c r="Q6" s="18"/>
      <c r="R6" s="18"/>
    </row>
    <row r="7" customFormat="false" ht="36" hidden="false" customHeight="true" outlineLevel="0" collapsed="false">
      <c r="A7" s="18"/>
      <c r="B7" s="338" t="str">
        <f aca="false">'12.lan'!D206</f>
        <v>Values ►
Stakekolders ▼</v>
      </c>
      <c r="C7" s="339" t="str">
        <f aca="false">'12.lan'!D216</f>
        <v>Human dignity</v>
      </c>
      <c r="D7" s="339"/>
      <c r="E7" s="339"/>
      <c r="F7" s="339"/>
      <c r="G7" s="339" t="str">
        <f aca="false">'12.lan'!D217</f>
        <v>Solidarity &amp; social justice</v>
      </c>
      <c r="H7" s="339"/>
      <c r="I7" s="339"/>
      <c r="J7" s="339"/>
      <c r="K7" s="340" t="str">
        <f aca="false">'12.lan'!D218</f>
        <v>Environmental sustainability</v>
      </c>
      <c r="L7" s="340"/>
      <c r="M7" s="340"/>
      <c r="N7" s="340"/>
      <c r="O7" s="339" t="str">
        <f aca="false">'12.lan'!D219</f>
        <v>Transparency &amp; co-determination</v>
      </c>
      <c r="P7" s="339"/>
      <c r="Q7" s="339"/>
      <c r="R7" s="339"/>
    </row>
    <row r="8" customFormat="false" ht="53.25" hidden="false" customHeight="true" outlineLevel="0" collapsed="false">
      <c r="A8" s="18"/>
      <c r="B8" s="341" t="str">
        <f aca="false">"A: "&amp;'12.lan'!D108</f>
        <v>A: Suppliers</v>
      </c>
      <c r="C8" s="342" t="str">
        <f aca="false">'12.lan'!B109</f>
        <v>A1: Human dignity in the supply chain</v>
      </c>
      <c r="D8" s="342"/>
      <c r="E8" s="342"/>
      <c r="F8" s="342"/>
      <c r="G8" s="342" t="str">
        <f aca="false">'12.lan'!B112</f>
        <v>A2: Solidarity and social justice in the supply chain</v>
      </c>
      <c r="H8" s="342"/>
      <c r="I8" s="342"/>
      <c r="J8" s="342"/>
      <c r="K8" s="342" t="str">
        <f aca="false">'12.lan'!B116</f>
        <v>A3: Environmental sustainability in the supply chain</v>
      </c>
      <c r="L8" s="342"/>
      <c r="M8" s="342"/>
      <c r="N8" s="342"/>
      <c r="O8" s="342" t="str">
        <f aca="false">'12.lan'!B119</f>
        <v>A4: Transparency &amp; co-determination in the supply chain</v>
      </c>
      <c r="P8" s="342"/>
      <c r="Q8" s="342"/>
      <c r="R8" s="342"/>
    </row>
    <row r="9" customFormat="false" ht="21" hidden="false" customHeight="true" outlineLevel="0" collapsed="false">
      <c r="A9" s="18"/>
      <c r="B9" s="341"/>
      <c r="C9" s="343" t="n">
        <f aca="false">'3. Calc'!I10</f>
        <v>4.44444444444444</v>
      </c>
      <c r="D9" s="344" t="str">
        <f aca="false">'12.lan'!$D$214</f>
        <v>of</v>
      </c>
      <c r="E9" s="345" t="n">
        <f aca="false">'3. Calc'!J10</f>
        <v>44.4444444444444</v>
      </c>
      <c r="F9" s="346" t="n">
        <f aca="false">'3. Calc'!H10</f>
        <v>0.1</v>
      </c>
      <c r="G9" s="343" t="n">
        <f aca="false">'3. Calc'!I13</f>
        <v>4.44444444444444</v>
      </c>
      <c r="H9" s="344" t="str">
        <f aca="false">'12.lan'!$D$214</f>
        <v>of</v>
      </c>
      <c r="I9" s="345" t="n">
        <f aca="false">'3. Calc'!J13</f>
        <v>44.4444444444444</v>
      </c>
      <c r="J9" s="346" t="n">
        <f aca="false">'3. Calc'!H13</f>
        <v>0.1</v>
      </c>
      <c r="K9" s="343" t="n">
        <f aca="false">'3. Calc'!I17</f>
        <v>4.44444444444444</v>
      </c>
      <c r="L9" s="344" t="str">
        <f aca="false">'12.lan'!$D$214</f>
        <v>of</v>
      </c>
      <c r="M9" s="345" t="n">
        <f aca="false">'3. Calc'!J17</f>
        <v>44.4444444444444</v>
      </c>
      <c r="N9" s="346" t="n">
        <f aca="false">'3. Calc'!H17</f>
        <v>0.1</v>
      </c>
      <c r="O9" s="343" t="n">
        <f aca="false">'3. Calc'!I20</f>
        <v>26.6666666666667</v>
      </c>
      <c r="P9" s="344" t="str">
        <f aca="false">'12.lan'!$D$214</f>
        <v>of</v>
      </c>
      <c r="Q9" s="345" t="n">
        <f aca="false">'3. Calc'!J20</f>
        <v>44.4444444444444</v>
      </c>
      <c r="R9" s="346" t="n">
        <f aca="false">'3. Calc'!H20</f>
        <v>0.6</v>
      </c>
    </row>
    <row r="10" customFormat="false" ht="45" hidden="false" customHeight="true" outlineLevel="0" collapsed="false">
      <c r="A10" s="18"/>
      <c r="B10" s="347" t="str">
        <f aca="false">"B: "&amp;'12.lan'!D122</f>
        <v>B: Owners, equity- and financial service providers</v>
      </c>
      <c r="C10" s="342" t="str">
        <f aca="false">'12.lan'!B123</f>
        <v>B1: Ethical position in relation to financial resources</v>
      </c>
      <c r="D10" s="342"/>
      <c r="E10" s="342"/>
      <c r="F10" s="342"/>
      <c r="G10" s="342" t="str">
        <f aca="false">'12.lan'!B127</f>
        <v>B2: Social position in relation to financial resources</v>
      </c>
      <c r="H10" s="342"/>
      <c r="I10" s="342"/>
      <c r="J10" s="342"/>
      <c r="K10" s="342" t="str">
        <f aca="false">'12.lan'!B130</f>
        <v>B3: Use of funds in relation to social and environmental impacts</v>
      </c>
      <c r="L10" s="342"/>
      <c r="M10" s="342"/>
      <c r="N10" s="342"/>
      <c r="O10" s="342" t="str">
        <f aca="false">'12.lan'!B134&amp;IF('9. Weighting'!I28=1,'12.lan'!D211,"")</f>
        <v>B4: Ownership and co-determination</v>
      </c>
      <c r="P10" s="342"/>
      <c r="Q10" s="342"/>
      <c r="R10" s="342"/>
    </row>
    <row r="11" customFormat="false" ht="28.5" hidden="false" customHeight="true" outlineLevel="0" collapsed="false">
      <c r="A11" s="18"/>
      <c r="B11" s="347"/>
      <c r="C11" s="343" t="n">
        <f aca="false">'3. Calc'!I24</f>
        <v>26.6666666666667</v>
      </c>
      <c r="D11" s="344" t="str">
        <f aca="false">'12.lan'!$D$214</f>
        <v>of</v>
      </c>
      <c r="E11" s="345" t="n">
        <f aca="false">'3. Calc'!J24</f>
        <v>33.3333333333333</v>
      </c>
      <c r="F11" s="346" t="n">
        <f aca="false">'3. Calc'!H24</f>
        <v>0.8</v>
      </c>
      <c r="G11" s="343" t="n">
        <f aca="false">'3. Calc'!I28</f>
        <v>2.22222222222222</v>
      </c>
      <c r="H11" s="344" t="str">
        <f aca="false">'12.lan'!$D$214</f>
        <v>of</v>
      </c>
      <c r="I11" s="345" t="n">
        <f aca="false">'3. Calc'!J28</f>
        <v>22.2222222222222</v>
      </c>
      <c r="J11" s="346" t="n">
        <f aca="false">'3. Calc'!H28</f>
        <v>0.1</v>
      </c>
      <c r="K11" s="343" t="n">
        <f aca="false">'3. Calc'!I31</f>
        <v>10</v>
      </c>
      <c r="L11" s="344" t="str">
        <f aca="false">'12.lan'!$D$214</f>
        <v>of</v>
      </c>
      <c r="M11" s="345" t="n">
        <f aca="false">'3. Calc'!J31</f>
        <v>33.3333333333333</v>
      </c>
      <c r="N11" s="346" t="n">
        <f aca="false">'3. Calc'!H31</f>
        <v>0.3</v>
      </c>
      <c r="O11" s="343" t="n">
        <f aca="false">'3. Calc'!I35</f>
        <v>2.22222222222222</v>
      </c>
      <c r="P11" s="344" t="str">
        <f aca="false">'12.lan'!$D$214</f>
        <v>of</v>
      </c>
      <c r="Q11" s="345" t="n">
        <f aca="false">'3. Calc'!J35</f>
        <v>22.2222222222222</v>
      </c>
      <c r="R11" s="346" t="n">
        <f aca="false">'3. Calc'!H35</f>
        <v>0.1</v>
      </c>
    </row>
    <row r="12" customFormat="false" ht="50.25" hidden="false" customHeight="true" outlineLevel="0" collapsed="false">
      <c r="A12" s="18"/>
      <c r="B12" s="348" t="str">
        <f aca="false">"C: "&amp;'12.lan'!D137</f>
        <v>C: Employees</v>
      </c>
      <c r="C12" s="342" t="str">
        <f aca="false">'12.lan'!B138</f>
        <v>C1: Human dignity in the workplace and working environment</v>
      </c>
      <c r="D12" s="342"/>
      <c r="E12" s="342"/>
      <c r="F12" s="342"/>
      <c r="G12" s="342" t="str">
        <f aca="false">'12.lan'!B143</f>
        <v>C2: Self-determined working arrangements</v>
      </c>
      <c r="H12" s="342"/>
      <c r="I12" s="342"/>
      <c r="J12" s="342"/>
      <c r="K12" s="342" t="str">
        <f aca="false">'12.lan'!B148</f>
        <v>C3: Environmentally-friendly behaviour of staff</v>
      </c>
      <c r="L12" s="342"/>
      <c r="M12" s="342"/>
      <c r="N12" s="342"/>
      <c r="O12" s="342" t="str">
        <f aca="false">'12.lan'!B153</f>
        <v>C4: Co-determination and transparency within the organisation</v>
      </c>
      <c r="P12" s="342"/>
      <c r="Q12" s="342"/>
      <c r="R12" s="342"/>
    </row>
    <row r="13" customFormat="false" ht="16.5" hidden="false" customHeight="true" outlineLevel="0" collapsed="false">
      <c r="A13" s="18"/>
      <c r="B13" s="348"/>
      <c r="C13" s="343" t="n">
        <f aca="false">'3. Calc'!I39</f>
        <v>17.7777777777778</v>
      </c>
      <c r="D13" s="344" t="str">
        <f aca="false">'12.lan'!$D$214</f>
        <v>of</v>
      </c>
      <c r="E13" s="345" t="n">
        <f aca="false">'3. Calc'!J39</f>
        <v>88.8888888888889</v>
      </c>
      <c r="F13" s="346" t="n">
        <f aca="false">'3. Calc'!H39</f>
        <v>0.2</v>
      </c>
      <c r="G13" s="343" t="n">
        <f aca="false">'3. Calc'!I44</f>
        <v>17.7777777777778</v>
      </c>
      <c r="H13" s="344" t="str">
        <f aca="false">'12.lan'!$D$214</f>
        <v>of</v>
      </c>
      <c r="I13" s="345" t="n">
        <f aca="false">'3. Calc'!J44</f>
        <v>88.8888888888889</v>
      </c>
      <c r="J13" s="346" t="n">
        <f aca="false">'3. Calc'!H44</f>
        <v>0.2</v>
      </c>
      <c r="K13" s="343" t="n">
        <f aca="false">'3. Calc'!I49</f>
        <v>17.7777777777778</v>
      </c>
      <c r="L13" s="344" t="str">
        <f aca="false">'12.lan'!$D$214</f>
        <v>of</v>
      </c>
      <c r="M13" s="345" t="n">
        <f aca="false">'3. Calc'!J49</f>
        <v>88.8888888888889</v>
      </c>
      <c r="N13" s="346" t="n">
        <f aca="false">'3. Calc'!H49</f>
        <v>0.2</v>
      </c>
      <c r="O13" s="343" t="n">
        <f aca="false">'3. Calc'!I54</f>
        <v>17.7777777777778</v>
      </c>
      <c r="P13" s="344" t="str">
        <f aca="false">'12.lan'!$D$214</f>
        <v>of</v>
      </c>
      <c r="Q13" s="345" t="n">
        <f aca="false">'3. Calc'!J54</f>
        <v>88.8888888888889</v>
      </c>
      <c r="R13" s="346" t="n">
        <f aca="false">'3. Calc'!H54</f>
        <v>0.2</v>
      </c>
    </row>
    <row r="14" customFormat="false" ht="50.25" hidden="false" customHeight="true" outlineLevel="0" collapsed="false">
      <c r="A14" s="18"/>
      <c r="B14" s="348" t="str">
        <f aca="false">"D: "&amp;'12.lan'!D158</f>
        <v>D: Customers and other companies</v>
      </c>
      <c r="C14" s="342" t="str">
        <f aca="false">'12.lan'!B159</f>
        <v>D1: Ethical customer relations</v>
      </c>
      <c r="D14" s="342"/>
      <c r="E14" s="342"/>
      <c r="F14" s="342"/>
      <c r="G14" s="342" t="str">
        <f aca="false">'12.lan'!B163</f>
        <v>D2: Cooperation and solidarity with other companies</v>
      </c>
      <c r="H14" s="342"/>
      <c r="I14" s="342"/>
      <c r="J14" s="342"/>
      <c r="K14" s="342" t="str">
        <f aca="false">'12.lan'!B167</f>
        <v>D3: Impact on the environment of the use and disposal of products and services</v>
      </c>
      <c r="L14" s="342"/>
      <c r="M14" s="342"/>
      <c r="N14" s="342"/>
      <c r="O14" s="342" t="str">
        <f aca="false">'12.lan'!B171</f>
        <v>D4: Customer participation and product transparency</v>
      </c>
      <c r="P14" s="342"/>
      <c r="Q14" s="342"/>
      <c r="R14" s="342"/>
    </row>
    <row r="15" customFormat="false" ht="16.5" hidden="false" customHeight="true" outlineLevel="0" collapsed="false">
      <c r="A15" s="18"/>
      <c r="B15" s="348"/>
      <c r="C15" s="343" t="n">
        <f aca="false">'3. Calc'!I60</f>
        <v>0</v>
      </c>
      <c r="D15" s="344" t="str">
        <f aca="false">'12.lan'!$D$214</f>
        <v>of</v>
      </c>
      <c r="E15" s="345" t="n">
        <f aca="false">'3. Calc'!J60</f>
        <v>44.4444444444444</v>
      </c>
      <c r="F15" s="346" t="n">
        <f aca="false">'3. Calc'!H60</f>
        <v>0</v>
      </c>
      <c r="G15" s="343" t="n">
        <f aca="false">'3. Calc'!I64</f>
        <v>17.7777777777778</v>
      </c>
      <c r="H15" s="344" t="str">
        <f aca="false">'12.lan'!$D$214</f>
        <v>of</v>
      </c>
      <c r="I15" s="345" t="n">
        <f aca="false">'3. Calc'!J64</f>
        <v>44.4444444444444</v>
      </c>
      <c r="J15" s="346" t="n">
        <f aca="false">'3. Calc'!H64</f>
        <v>0.4</v>
      </c>
      <c r="K15" s="343" t="n">
        <f aca="false">'3. Calc'!I68</f>
        <v>0</v>
      </c>
      <c r="L15" s="344" t="str">
        <f aca="false">'12.lan'!$D$214</f>
        <v>of</v>
      </c>
      <c r="M15" s="345" t="n">
        <f aca="false">'3. Calc'!J68</f>
        <v>44.4444444444444</v>
      </c>
      <c r="N15" s="346" t="n">
        <f aca="false">'3. Calc'!H68</f>
        <v>0</v>
      </c>
      <c r="O15" s="343" t="n">
        <f aca="false">'3. Calc'!I72</f>
        <v>0</v>
      </c>
      <c r="P15" s="344" t="str">
        <f aca="false">'12.lan'!$D$214</f>
        <v>of</v>
      </c>
      <c r="Q15" s="345" t="n">
        <f aca="false">'3. Calc'!J72</f>
        <v>44.4444444444444</v>
      </c>
      <c r="R15" s="346" t="n">
        <f aca="false">'3. Calc'!H72</f>
        <v>0</v>
      </c>
    </row>
    <row r="16" customFormat="false" ht="50.25" hidden="false" customHeight="true" outlineLevel="0" collapsed="false">
      <c r="A16" s="18"/>
      <c r="B16" s="348" t="str">
        <f aca="false">"E: "&amp;'12.lan'!D175</f>
        <v>E: Social environment</v>
      </c>
      <c r="C16" s="342" t="str">
        <f aca="false">'12.lan'!B176</f>
        <v>E1: Purpose of products and services and their effects on society</v>
      </c>
      <c r="D16" s="342"/>
      <c r="E16" s="342"/>
      <c r="F16" s="342"/>
      <c r="G16" s="342" t="str">
        <f aca="false">'12.lan'!B180</f>
        <v>E2: Contribution to the community</v>
      </c>
      <c r="H16" s="342"/>
      <c r="I16" s="342"/>
      <c r="J16" s="342"/>
      <c r="K16" s="342" t="str">
        <f aca="false">'12.lan'!B185</f>
        <v>E3: Reduction of environmental impact</v>
      </c>
      <c r="L16" s="342"/>
      <c r="M16" s="342"/>
      <c r="N16" s="342"/>
      <c r="O16" s="342" t="str">
        <f aca="false">'12.lan'!B189</f>
        <v>E4: Social co-determination and transparency</v>
      </c>
      <c r="P16" s="342"/>
      <c r="Q16" s="342"/>
      <c r="R16" s="342"/>
    </row>
    <row r="17" customFormat="false" ht="16.5" hidden="false" customHeight="true" outlineLevel="0" collapsed="false">
      <c r="A17" s="18"/>
      <c r="B17" s="348"/>
      <c r="C17" s="343" t="n">
        <f aca="false">'3. Calc'!I77</f>
        <v>0</v>
      </c>
      <c r="D17" s="344" t="str">
        <f aca="false">'12.lan'!$D$214</f>
        <v>of</v>
      </c>
      <c r="E17" s="345" t="n">
        <f aca="false">'3. Calc'!J77</f>
        <v>44.4444444444444</v>
      </c>
      <c r="F17" s="346" t="n">
        <f aca="false">'3. Calc'!H77</f>
        <v>0</v>
      </c>
      <c r="G17" s="343" t="n">
        <f aca="false">'3. Calc'!I81</f>
        <v>8.88888888888889</v>
      </c>
      <c r="H17" s="344" t="str">
        <f aca="false">'12.lan'!$D$214</f>
        <v>of</v>
      </c>
      <c r="I17" s="345" t="n">
        <f aca="false">'3. Calc'!J81</f>
        <v>44.4444444444444</v>
      </c>
      <c r="J17" s="346" t="n">
        <f aca="false">'3. Calc'!H81</f>
        <v>0.2</v>
      </c>
      <c r="K17" s="343" t="n">
        <f aca="false">'3. Calc'!I86</f>
        <v>17.7777777777778</v>
      </c>
      <c r="L17" s="344" t="str">
        <f aca="false">'12.lan'!$D$214</f>
        <v>of</v>
      </c>
      <c r="M17" s="345" t="n">
        <f aca="false">'3. Calc'!J86</f>
        <v>44.4444444444444</v>
      </c>
      <c r="N17" s="346" t="n">
        <f aca="false">'3. Calc'!H86</f>
        <v>0.4</v>
      </c>
      <c r="O17" s="343" t="n">
        <f aca="false">'3. Calc'!I90</f>
        <v>26.6666666666667</v>
      </c>
      <c r="P17" s="344" t="str">
        <f aca="false">'12.lan'!$D$214</f>
        <v>of</v>
      </c>
      <c r="Q17" s="345" t="n">
        <f aca="false">'3. Calc'!J90</f>
        <v>44.4444444444444</v>
      </c>
      <c r="R17" s="346"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'12.lan'!D241&amp;'1. General'!C6</f>
        <v>Values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'12.lan'!D216</f>
        <v>Human dignity</v>
      </c>
      <c r="C18" s="368" t="n">
        <f aca="false">'4. ECG-Matrix'!C9+'4. ECG-Matrix'!C11+'4. ECG-Matrix'!C13+'4. ECG-Matrix'!C15+'4. ECG-Matrix'!C17</f>
        <v>48.8888888888889</v>
      </c>
      <c r="D18" s="369" t="str">
        <f aca="false">'12.lan'!$D$214</f>
        <v>of</v>
      </c>
      <c r="E18" s="370" t="n">
        <f aca="false">'4. ECG-Matrix'!E9+'4. ECG-Matrix'!E11+'4. ECG-Matrix'!E13+'4. ECG-Matrix'!E15+'4. ECG-Matrix'!E17</f>
        <v>255.555555555556</v>
      </c>
      <c r="F18" s="371" t="n">
        <f aca="false">C18/E18</f>
        <v>0.191304347826087</v>
      </c>
      <c r="G18" s="372" t="n">
        <f aca="false">IF(F18&lt;0,0,F18)</f>
        <v>0.191304347826087</v>
      </c>
    </row>
    <row r="19" customFormat="false" ht="26.25" hidden="false" customHeight="true" outlineLevel="0" collapsed="false">
      <c r="A19" s="352"/>
      <c r="B19" s="367" t="str">
        <f aca="false">'12.lan'!D217</f>
        <v>Solidarity &amp; social justice</v>
      </c>
      <c r="C19" s="368" t="n">
        <f aca="false">'4. ECG-Matrix'!G9+'4. ECG-Matrix'!G11+'4. ECG-Matrix'!G13+'4. ECG-Matrix'!G15+'4. ECG-Matrix'!G17</f>
        <v>51.1111111111111</v>
      </c>
      <c r="D19" s="369" t="str">
        <f aca="false">'12.lan'!$D$214</f>
        <v>of</v>
      </c>
      <c r="E19" s="370" t="n">
        <f aca="false">'4. ECG-Matrix'!I9+'4. ECG-Matrix'!I11+'4. ECG-Matrix'!I13+'4. ECG-Matrix'!I15+'4. ECG-Matrix'!I17</f>
        <v>244.444444444444</v>
      </c>
      <c r="F19" s="371" t="n">
        <f aca="false">C19/E19</f>
        <v>0.209090909090909</v>
      </c>
      <c r="G19" s="372" t="n">
        <f aca="false">IF(F19&lt;0,0,F19)</f>
        <v>0.209090909090909</v>
      </c>
    </row>
    <row r="20" customFormat="false" ht="26.25" hidden="false" customHeight="true" outlineLevel="0" collapsed="false">
      <c r="A20" s="352"/>
      <c r="B20" s="367" t="str">
        <f aca="false">'12.lan'!D218</f>
        <v>Environmental sustainability</v>
      </c>
      <c r="C20" s="368" t="n">
        <f aca="false">'4. ECG-Matrix'!K9+'4. ECG-Matrix'!K11+'4. ECG-Matrix'!K13+'4. ECG-Matrix'!K15+'4. ECG-Matrix'!K17</f>
        <v>50</v>
      </c>
      <c r="D20" s="369" t="str">
        <f aca="false">'12.lan'!$D$214</f>
        <v>of</v>
      </c>
      <c r="E20" s="370" t="n">
        <f aca="false">'4. ECG-Matrix'!M9+'4. ECG-Matrix'!M11+'4. ECG-Matrix'!M13+'4. ECG-Matrix'!M15+'4. ECG-Matrix'!M17</f>
        <v>255.555555555556</v>
      </c>
      <c r="F20" s="371" t="n">
        <f aca="false">C20/E20</f>
        <v>0.195652173913043</v>
      </c>
      <c r="G20" s="372" t="n">
        <f aca="false">IF(F20&lt;0,0,F20)</f>
        <v>0.195652173913043</v>
      </c>
    </row>
    <row r="21" customFormat="false" ht="26.25" hidden="false" customHeight="true" outlineLevel="0" collapsed="false">
      <c r="A21" s="352"/>
      <c r="B21" s="367" t="str">
        <f aca="false">'12.lan'!D219</f>
        <v>Transparency &amp; co-determination</v>
      </c>
      <c r="C21" s="368" t="n">
        <f aca="false">'4. ECG-Matrix'!O9+'4. ECG-Matrix'!O11+'4. ECG-Matrix'!O13+'4. ECG-Matrix'!O15+'4. ECG-Matrix'!O17</f>
        <v>73.3333333333333</v>
      </c>
      <c r="D21" s="369" t="str">
        <f aca="false">'12.lan'!$D$214</f>
        <v>of</v>
      </c>
      <c r="E21" s="370" t="n">
        <f aca="false">'4. ECG-Matrix'!Q9+'4. ECG-Matrix'!Q11+'4. ECG-Matrix'!Q13+'4. ECG-Matrix'!Q15+'4. ECG-Matrix'!Q17</f>
        <v>244.444444444444</v>
      </c>
      <c r="F21" s="371" t="n">
        <f aca="false">C21/E21</f>
        <v>0.3</v>
      </c>
      <c r="G21" s="372" t="n">
        <f aca="false">IF(F21&lt;0,0,F21)</f>
        <v>0.3</v>
      </c>
    </row>
    <row r="22" customFormat="false" ht="30" hidden="false" customHeight="true" outlineLevel="0" collapsed="false">
      <c r="A22" s="352"/>
      <c r="B22" s="373" t="str">
        <f aca="false">'12.lan'!D228</f>
        <v>TOTAL</v>
      </c>
      <c r="C22" s="374" t="n">
        <f aca="false">'3. Calc'!I4</f>
        <v>223.333333333333</v>
      </c>
      <c r="D22" s="375" t="str">
        <f aca="false">'12.lan'!$D$214</f>
        <v>of</v>
      </c>
      <c r="E22" s="376" t="n">
        <f aca="false">'3. Calc'!J4</f>
        <v>1000</v>
      </c>
      <c r="F22" s="377" t="n">
        <f aca="false">C22/E22</f>
        <v>0.223333333333333</v>
      </c>
    </row>
    <row r="23" customFormat="false" ht="14.1" hidden="false" customHeight="true" outlineLevel="0" collapsed="false">
      <c r="A23" s="352"/>
      <c r="B23" s="352"/>
      <c r="C23" s="352"/>
      <c r="D23" s="353"/>
      <c r="E23" s="352"/>
      <c r="F23" s="354"/>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54.3"/>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'12.lan'!D242&amp;'1. General'!C6</f>
        <v>Group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'12.lan'!D108</f>
        <v>Suppliers</v>
      </c>
      <c r="C18" s="368" t="n">
        <f aca="false">'3. Calc'!I9</f>
        <v>40</v>
      </c>
      <c r="D18" s="369" t="str">
        <f aca="false">'12.lan'!$D$214</f>
        <v>of</v>
      </c>
      <c r="E18" s="370" t="n">
        <f aca="false">'3. Calc'!J9</f>
        <v>177.777777777778</v>
      </c>
      <c r="F18" s="371" t="n">
        <f aca="false">C18/E18</f>
        <v>0.225</v>
      </c>
      <c r="G18" s="372" t="n">
        <f aca="false">IF(F18&lt;0,0,F18)</f>
        <v>0.225</v>
      </c>
    </row>
    <row r="19" customFormat="false" ht="26.25" hidden="false" customHeight="true" outlineLevel="0" collapsed="false">
      <c r="A19" s="352"/>
      <c r="B19" s="367" t="str">
        <f aca="false">'12.lan'!D122</f>
        <v>Owners, equity- and financial service providers</v>
      </c>
      <c r="C19" s="368" t="n">
        <f aca="false">'3. Calc'!I23</f>
        <v>41.1111111111111</v>
      </c>
      <c r="D19" s="369" t="str">
        <f aca="false">'12.lan'!$D$214</f>
        <v>of</v>
      </c>
      <c r="E19" s="370" t="n">
        <f aca="false">'3. Calc'!J23</f>
        <v>111.111111111111</v>
      </c>
      <c r="F19" s="371" t="n">
        <f aca="false">C19/E19</f>
        <v>0.37</v>
      </c>
      <c r="G19" s="372" t="n">
        <f aca="false">IF(F19&lt;0,0,F19)</f>
        <v>0.37</v>
      </c>
    </row>
    <row r="20" customFormat="false" ht="26.25" hidden="false" customHeight="true" outlineLevel="0" collapsed="false">
      <c r="A20" s="352"/>
      <c r="B20" s="367" t="str">
        <f aca="false">'12.lan'!D137</f>
        <v>Employees</v>
      </c>
      <c r="C20" s="368" t="n">
        <f aca="false">'3. Calc'!I38</f>
        <v>71.1111111111111</v>
      </c>
      <c r="D20" s="369" t="str">
        <f aca="false">'12.lan'!$D$214</f>
        <v>of</v>
      </c>
      <c r="E20" s="370" t="n">
        <f aca="false">'3. Calc'!J38</f>
        <v>355.555555555556</v>
      </c>
      <c r="F20" s="371" t="n">
        <f aca="false">C20/E20</f>
        <v>0.2</v>
      </c>
      <c r="G20" s="372" t="n">
        <f aca="false">IF(F20&lt;0,0,F20)</f>
        <v>0.2</v>
      </c>
    </row>
    <row r="21" customFormat="false" ht="26.25" hidden="false" customHeight="true" outlineLevel="0" collapsed="false">
      <c r="A21" s="352"/>
      <c r="B21" s="367" t="str">
        <f aca="false">'12.lan'!D158</f>
        <v>Customers and other companies</v>
      </c>
      <c r="C21" s="368" t="n">
        <f aca="false">'3. Calc'!I59</f>
        <v>17.7777777777778</v>
      </c>
      <c r="D21" s="369" t="str">
        <f aca="false">'12.lan'!$D$214</f>
        <v>of</v>
      </c>
      <c r="E21" s="370" t="n">
        <f aca="false">'3. Calc'!J59</f>
        <v>177.777777777778</v>
      </c>
      <c r="F21" s="371" t="n">
        <f aca="false">C21/E21</f>
        <v>0.1</v>
      </c>
      <c r="G21" s="372" t="n">
        <f aca="false">IF(F21&lt;0,0,F21)</f>
        <v>0.1</v>
      </c>
    </row>
    <row r="22" customFormat="false" ht="26.25" hidden="false" customHeight="true" outlineLevel="0" collapsed="false">
      <c r="A22" s="352"/>
      <c r="B22" s="367" t="str">
        <f aca="false">'12.lan'!D175</f>
        <v>Social environment</v>
      </c>
      <c r="C22" s="368" t="n">
        <f aca="false">'3. Calc'!I76</f>
        <v>53.3333333333333</v>
      </c>
      <c r="D22" s="369" t="str">
        <f aca="false">'12.lan'!$D$214</f>
        <v>of</v>
      </c>
      <c r="E22" s="370" t="n">
        <f aca="false">'3. Calc'!J76</f>
        <v>177.777777777778</v>
      </c>
      <c r="F22" s="371" t="n">
        <f aca="false">C22/E22</f>
        <v>0.3</v>
      </c>
      <c r="G22" s="372" t="n">
        <f aca="false">IF(F22&lt;0,0,F22)</f>
        <v>0.3</v>
      </c>
    </row>
    <row r="23" customFormat="false" ht="30" hidden="false" customHeight="true" outlineLevel="0" collapsed="false">
      <c r="A23" s="352"/>
      <c r="B23" s="373" t="str">
        <f aca="false">'12.lan'!D228</f>
        <v>TOTAL</v>
      </c>
      <c r="C23" s="374" t="n">
        <f aca="false">'3. Calc'!I4</f>
        <v>223.333333333333</v>
      </c>
      <c r="D23" s="375" t="str">
        <f aca="false">'12.lan'!$D$214</f>
        <v>of</v>
      </c>
      <c r="E23" s="376" t="n">
        <f aca="false">'3. Calc'!J4</f>
        <v>1000</v>
      </c>
      <c r="F23" s="377" t="n">
        <f aca="false">C23/E23</f>
        <v>0.223333333333333</v>
      </c>
    </row>
    <row r="24" customFormat="false" ht="14.1" hidden="false" customHeight="true" outlineLevel="0" collapsed="false">
      <c r="A24" s="352"/>
      <c r="B24" s="352"/>
      <c r="C24" s="352"/>
      <c r="D24" s="353"/>
      <c r="E24" s="352"/>
      <c r="F24" s="354"/>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7" min="7" style="349" width="10.71"/>
    <col collapsed="false" customWidth="true" hidden="false" outlineLevel="0" max="8" min="8" style="349" width="43.29"/>
    <col collapsed="false" customWidth="false" hidden="false" outlineLevel="0" max="33" min="9" style="349" width="10.71"/>
    <col collapsed="false" customWidth="false" hidden="false" outlineLevel="0" max="34" min="34" style="350" width="10.71"/>
    <col collapsed="false" customWidth="false" hidden="false" outlineLevel="0" max="1024" min="35"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'12.lan'!D243&amp;'1. General'!C6</f>
        <v>Theme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
        <v>29</v>
      </c>
      <c r="C18" s="368" t="n">
        <f aca="false">'4. ECG-Matrix'!C9</f>
        <v>4.44444444444444</v>
      </c>
      <c r="D18" s="369" t="str">
        <f aca="false">'12.lan'!$D$214</f>
        <v>of</v>
      </c>
      <c r="E18" s="370" t="n">
        <f aca="false">'4. ECG-Matrix'!E9</f>
        <v>44.4444444444444</v>
      </c>
      <c r="F18" s="378" t="n">
        <f aca="false">C18/E18</f>
        <v>0.1</v>
      </c>
      <c r="G18" s="372" t="n">
        <f aca="false">IF(F18&lt;0,0,F18)</f>
        <v>0.1</v>
      </c>
      <c r="AI18" s="379"/>
      <c r="AM18" s="379"/>
    </row>
    <row r="19" customFormat="false" ht="26.25" hidden="false" customHeight="true" outlineLevel="0" collapsed="false">
      <c r="A19" s="352"/>
      <c r="B19" s="367" t="s">
        <v>32</v>
      </c>
      <c r="C19" s="368" t="n">
        <f aca="false">'4. ECG-Matrix'!G9</f>
        <v>4.44444444444444</v>
      </c>
      <c r="D19" s="369" t="str">
        <f aca="false">'12.lan'!$D$214</f>
        <v>of</v>
      </c>
      <c r="E19" s="370" t="n">
        <f aca="false">'4. ECG-Matrix'!I9</f>
        <v>44.4444444444444</v>
      </c>
      <c r="F19" s="378" t="n">
        <f aca="false">C19/E19</f>
        <v>0.1</v>
      </c>
      <c r="G19" s="372" t="n">
        <f aca="false">IF(F19&lt;0,0,F19)</f>
        <v>0.1</v>
      </c>
      <c r="AI19" s="379"/>
      <c r="AM19" s="379"/>
    </row>
    <row r="20" customFormat="false" ht="26.25" hidden="false" customHeight="true" outlineLevel="0" collapsed="false">
      <c r="A20" s="352"/>
      <c r="B20" s="367" t="s">
        <v>36</v>
      </c>
      <c r="C20" s="368" t="n">
        <f aca="false">'4. ECG-Matrix'!K9</f>
        <v>4.44444444444444</v>
      </c>
      <c r="D20" s="369" t="str">
        <f aca="false">'12.lan'!$D$214</f>
        <v>of</v>
      </c>
      <c r="E20" s="370" t="n">
        <f aca="false">'4. ECG-Matrix'!M9</f>
        <v>44.4444444444444</v>
      </c>
      <c r="F20" s="378" t="n">
        <f aca="false">C20/E20</f>
        <v>0.1</v>
      </c>
      <c r="G20" s="372" t="n">
        <f aca="false">IF(F20&lt;0,0,F20)</f>
        <v>0.1</v>
      </c>
      <c r="AI20" s="379"/>
      <c r="AM20" s="379"/>
    </row>
    <row r="21" customFormat="false" ht="26.25" hidden="false" customHeight="true" outlineLevel="0" collapsed="false">
      <c r="A21" s="352"/>
      <c r="B21" s="367" t="s">
        <v>39</v>
      </c>
      <c r="C21" s="368" t="n">
        <f aca="false">'4. ECG-Matrix'!O9</f>
        <v>26.6666666666667</v>
      </c>
      <c r="D21" s="369" t="str">
        <f aca="false">'12.lan'!$D$214</f>
        <v>of</v>
      </c>
      <c r="E21" s="370" t="n">
        <f aca="false">'4. ECG-Matrix'!Q9</f>
        <v>44.4444444444444</v>
      </c>
      <c r="F21" s="378" t="n">
        <f aca="false">C21/E21</f>
        <v>0.6</v>
      </c>
      <c r="G21" s="372" t="n">
        <f aca="false">IF(F21&lt;0,0,F21)</f>
        <v>0.6</v>
      </c>
      <c r="AI21" s="379"/>
      <c r="AM21" s="379"/>
    </row>
    <row r="22" customFormat="false" ht="26.25" hidden="false" customHeight="true" outlineLevel="0" collapsed="false">
      <c r="A22" s="352"/>
      <c r="B22" s="367" t="s">
        <v>43</v>
      </c>
      <c r="C22" s="368" t="n">
        <f aca="false">'4. ECG-Matrix'!C11</f>
        <v>26.6666666666667</v>
      </c>
      <c r="D22" s="369" t="str">
        <f aca="false">'12.lan'!$D$214</f>
        <v>of</v>
      </c>
      <c r="E22" s="370" t="n">
        <f aca="false">'4. ECG-Matrix'!E11</f>
        <v>33.3333333333333</v>
      </c>
      <c r="F22" s="378" t="n">
        <f aca="false">C22/E22</f>
        <v>0.8</v>
      </c>
      <c r="G22" s="372" t="n">
        <f aca="false">IF(F22&lt;0,0,F22)</f>
        <v>0.8</v>
      </c>
      <c r="AI22" s="379"/>
      <c r="AM22" s="379"/>
    </row>
    <row r="23" customFormat="false" ht="26.25" hidden="false" customHeight="true" outlineLevel="0" collapsed="false">
      <c r="A23" s="352"/>
      <c r="B23" s="367" t="s">
        <v>47</v>
      </c>
      <c r="C23" s="368" t="n">
        <f aca="false">'4. ECG-Matrix'!G11</f>
        <v>2.22222222222222</v>
      </c>
      <c r="D23" s="369" t="str">
        <f aca="false">'12.lan'!$D$214</f>
        <v>of</v>
      </c>
      <c r="E23" s="370" t="n">
        <f aca="false">'4. ECG-Matrix'!I11</f>
        <v>22.2222222222222</v>
      </c>
      <c r="F23" s="378" t="n">
        <f aca="false">C23/E23</f>
        <v>0.1</v>
      </c>
      <c r="G23" s="372" t="n">
        <f aca="false">IF(F23&lt;0,0,F23)</f>
        <v>0.1</v>
      </c>
      <c r="AI23" s="379"/>
      <c r="AM23" s="379"/>
    </row>
    <row r="24" customFormat="false" ht="26.25" hidden="false" customHeight="true" outlineLevel="0" collapsed="false">
      <c r="A24" s="352"/>
      <c r="B24" s="367" t="s">
        <v>50</v>
      </c>
      <c r="C24" s="368" t="n">
        <f aca="false">'4. ECG-Matrix'!K11</f>
        <v>10</v>
      </c>
      <c r="D24" s="369" t="str">
        <f aca="false">'12.lan'!$D$214</f>
        <v>of</v>
      </c>
      <c r="E24" s="370" t="n">
        <f aca="false">'4. ECG-Matrix'!M11</f>
        <v>33.3333333333333</v>
      </c>
      <c r="F24" s="378" t="n">
        <f aca="false">C24/E24</f>
        <v>0.3</v>
      </c>
      <c r="G24" s="372" t="n">
        <f aca="false">IF(F24&lt;0,0,F24)</f>
        <v>0.3</v>
      </c>
      <c r="AI24" s="379"/>
      <c r="AM24" s="379"/>
    </row>
    <row r="25" customFormat="false" ht="26.25" hidden="false" customHeight="true" outlineLevel="0" collapsed="false">
      <c r="A25" s="352"/>
      <c r="B25" s="367" t="s">
        <v>54</v>
      </c>
      <c r="C25" s="368" t="n">
        <f aca="false">'4. ECG-Matrix'!O11</f>
        <v>2.22222222222222</v>
      </c>
      <c r="D25" s="369" t="str">
        <f aca="false">'12.lan'!$D$214</f>
        <v>of</v>
      </c>
      <c r="E25" s="370" t="n">
        <f aca="false">'4. ECG-Matrix'!Q11</f>
        <v>22.2222222222222</v>
      </c>
      <c r="F25" s="378" t="n">
        <f aca="false">C25/E25</f>
        <v>0.1</v>
      </c>
      <c r="G25" s="372" t="n">
        <f aca="false">IF(F25&lt;0,0,F25)</f>
        <v>0.1</v>
      </c>
      <c r="AI25" s="379"/>
      <c r="AM25" s="379"/>
    </row>
    <row r="26" customFormat="false" ht="26.25" hidden="false" customHeight="true" outlineLevel="0" collapsed="false">
      <c r="A26" s="352"/>
      <c r="B26" s="367" t="s">
        <v>58</v>
      </c>
      <c r="C26" s="368" t="n">
        <f aca="false">'4. ECG-Matrix'!C13</f>
        <v>17.7777777777778</v>
      </c>
      <c r="D26" s="369" t="str">
        <f aca="false">'12.lan'!$D$214</f>
        <v>of</v>
      </c>
      <c r="E26" s="370" t="n">
        <f aca="false">'4. ECG-Matrix'!E13</f>
        <v>88.8888888888889</v>
      </c>
      <c r="F26" s="378" t="n">
        <f aca="false">C26/E26</f>
        <v>0.2</v>
      </c>
      <c r="G26" s="372" t="n">
        <f aca="false">IF(F26&lt;0,0,F26)</f>
        <v>0.2</v>
      </c>
      <c r="AI26" s="379"/>
      <c r="AM26" s="379"/>
    </row>
    <row r="27" customFormat="false" ht="26.25" hidden="false" customHeight="true" outlineLevel="0" collapsed="false">
      <c r="A27" s="352"/>
      <c r="B27" s="367" t="s">
        <v>63</v>
      </c>
      <c r="C27" s="368" t="n">
        <f aca="false">'4. ECG-Matrix'!G13</f>
        <v>17.7777777777778</v>
      </c>
      <c r="D27" s="369" t="str">
        <f aca="false">'12.lan'!$D$214</f>
        <v>of</v>
      </c>
      <c r="E27" s="370" t="n">
        <f aca="false">'4. ECG-Matrix'!I13</f>
        <v>88.8888888888889</v>
      </c>
      <c r="F27" s="378" t="n">
        <f aca="false">C27/E27</f>
        <v>0.2</v>
      </c>
      <c r="G27" s="372" t="n">
        <f aca="false">IF(F27&lt;0,0,F27)</f>
        <v>0.2</v>
      </c>
      <c r="AI27" s="379"/>
      <c r="AM27" s="379"/>
    </row>
    <row r="28" customFormat="false" ht="26.25" hidden="false" customHeight="true" outlineLevel="0" collapsed="false">
      <c r="A28" s="352"/>
      <c r="B28" s="367" t="s">
        <v>68</v>
      </c>
      <c r="C28" s="368" t="n">
        <f aca="false">'4. ECG-Matrix'!K13</f>
        <v>17.7777777777778</v>
      </c>
      <c r="D28" s="369" t="str">
        <f aca="false">'12.lan'!$D$214</f>
        <v>of</v>
      </c>
      <c r="E28" s="370" t="n">
        <f aca="false">'4. ECG-Matrix'!M13</f>
        <v>88.8888888888889</v>
      </c>
      <c r="F28" s="378" t="n">
        <f aca="false">C28/E28</f>
        <v>0.2</v>
      </c>
      <c r="G28" s="372" t="n">
        <f aca="false">IF(F28&lt;0,0,F28)</f>
        <v>0.2</v>
      </c>
      <c r="AI28" s="379"/>
      <c r="AM28" s="379"/>
    </row>
    <row r="29" customFormat="false" ht="26.25" hidden="false" customHeight="true" outlineLevel="0" collapsed="false">
      <c r="A29" s="352"/>
      <c r="B29" s="367" t="s">
        <v>73</v>
      </c>
      <c r="C29" s="368" t="n">
        <f aca="false">'4. ECG-Matrix'!O13</f>
        <v>17.7777777777778</v>
      </c>
      <c r="D29" s="369" t="str">
        <f aca="false">'12.lan'!$D$214</f>
        <v>of</v>
      </c>
      <c r="E29" s="370" t="n">
        <f aca="false">'4. ECG-Matrix'!Q13</f>
        <v>88.8888888888889</v>
      </c>
      <c r="F29" s="378" t="n">
        <f aca="false">C29/E29</f>
        <v>0.2</v>
      </c>
      <c r="G29" s="372" t="n">
        <f aca="false">IF(F29&lt;0,0,F29)</f>
        <v>0.2</v>
      </c>
      <c r="AI29" s="379"/>
      <c r="AM29" s="379"/>
    </row>
    <row r="30" customFormat="false" ht="26.25" hidden="false" customHeight="true" outlineLevel="0" collapsed="false">
      <c r="A30" s="352"/>
      <c r="B30" s="367" t="s">
        <v>79</v>
      </c>
      <c r="C30" s="368" t="n">
        <f aca="false">'4. ECG-Matrix'!C15</f>
        <v>0</v>
      </c>
      <c r="D30" s="369" t="str">
        <f aca="false">'12.lan'!$D$214</f>
        <v>of</v>
      </c>
      <c r="E30" s="370" t="n">
        <f aca="false">'4. ECG-Matrix'!E15</f>
        <v>44.4444444444444</v>
      </c>
      <c r="F30" s="378" t="n">
        <f aca="false">C30/E30</f>
        <v>0</v>
      </c>
      <c r="G30" s="372" t="n">
        <f aca="false">IF(F30&lt;0,0,F30)</f>
        <v>0</v>
      </c>
      <c r="AI30" s="379"/>
      <c r="AM30" s="379"/>
    </row>
    <row r="31" customFormat="false" ht="26.25" hidden="false" customHeight="true" outlineLevel="0" collapsed="false">
      <c r="A31" s="352"/>
      <c r="B31" s="367" t="s">
        <v>83</v>
      </c>
      <c r="C31" s="368" t="n">
        <f aca="false">'4. ECG-Matrix'!G15</f>
        <v>17.7777777777778</v>
      </c>
      <c r="D31" s="369" t="str">
        <f aca="false">'12.lan'!$D$214</f>
        <v>of</v>
      </c>
      <c r="E31" s="370" t="n">
        <f aca="false">'4. ECG-Matrix'!I15</f>
        <v>44.4444444444444</v>
      </c>
      <c r="F31" s="378" t="n">
        <f aca="false">C31/E31</f>
        <v>0.4</v>
      </c>
      <c r="G31" s="372" t="n">
        <f aca="false">IF(F31&lt;0,0,F31)</f>
        <v>0.4</v>
      </c>
      <c r="AI31" s="379"/>
      <c r="AM31" s="379"/>
    </row>
    <row r="32" customFormat="false" ht="26.25" hidden="false" customHeight="true" outlineLevel="0" collapsed="false">
      <c r="A32" s="352"/>
      <c r="B32" s="367" t="s">
        <v>87</v>
      </c>
      <c r="C32" s="368" t="n">
        <f aca="false">'4. ECG-Matrix'!K15</f>
        <v>0</v>
      </c>
      <c r="D32" s="369" t="str">
        <f aca="false">'12.lan'!$D$214</f>
        <v>of</v>
      </c>
      <c r="E32" s="370" t="n">
        <f aca="false">'4. ECG-Matrix'!M15</f>
        <v>44.4444444444444</v>
      </c>
      <c r="F32" s="378" t="n">
        <f aca="false">C32/E32</f>
        <v>0</v>
      </c>
      <c r="G32" s="372" t="n">
        <f aca="false">IF(F32&lt;0,0,F32)</f>
        <v>0</v>
      </c>
      <c r="AI32" s="379"/>
      <c r="AM32" s="379"/>
    </row>
    <row r="33" customFormat="false" ht="26.25" hidden="false" customHeight="true" outlineLevel="0" collapsed="false">
      <c r="A33" s="352"/>
      <c r="B33" s="367" t="s">
        <v>91</v>
      </c>
      <c r="C33" s="368" t="n">
        <f aca="false">'4. ECG-Matrix'!O15</f>
        <v>0</v>
      </c>
      <c r="D33" s="369" t="str">
        <f aca="false">'12.lan'!$D$214</f>
        <v>of</v>
      </c>
      <c r="E33" s="370" t="n">
        <f aca="false">'4. ECG-Matrix'!Q15</f>
        <v>44.4444444444444</v>
      </c>
      <c r="F33" s="378" t="n">
        <f aca="false">C33/E33</f>
        <v>0</v>
      </c>
      <c r="G33" s="372" t="n">
        <f aca="false">IF(F33&lt;0,0,F33)</f>
        <v>0</v>
      </c>
      <c r="AI33" s="379"/>
      <c r="AM33" s="379"/>
    </row>
    <row r="34" customFormat="false" ht="26.25" hidden="false" customHeight="true" outlineLevel="0" collapsed="false">
      <c r="A34" s="352"/>
      <c r="B34" s="367" t="s">
        <v>95</v>
      </c>
      <c r="C34" s="368" t="n">
        <f aca="false">'4. ECG-Matrix'!C17</f>
        <v>0</v>
      </c>
      <c r="D34" s="369" t="str">
        <f aca="false">'12.lan'!$D$214</f>
        <v>of</v>
      </c>
      <c r="E34" s="370" t="n">
        <f aca="false">'4. ECG-Matrix'!E17</f>
        <v>44.4444444444444</v>
      </c>
      <c r="F34" s="378" t="n">
        <f aca="false">C34/E34</f>
        <v>0</v>
      </c>
      <c r="G34" s="372" t="n">
        <f aca="false">IF(F34&lt;0,0,F34)</f>
        <v>0</v>
      </c>
      <c r="AI34" s="379"/>
      <c r="AM34" s="379"/>
    </row>
    <row r="35" customFormat="false" ht="26.25" hidden="false" customHeight="true" outlineLevel="0" collapsed="false">
      <c r="A35" s="352"/>
      <c r="B35" s="367" t="s">
        <v>99</v>
      </c>
      <c r="C35" s="368" t="n">
        <f aca="false">'4. ECG-Matrix'!G17</f>
        <v>8.88888888888889</v>
      </c>
      <c r="D35" s="369" t="str">
        <f aca="false">'12.lan'!$D$214</f>
        <v>of</v>
      </c>
      <c r="E35" s="370" t="n">
        <f aca="false">'4. ECG-Matrix'!I17</f>
        <v>44.4444444444444</v>
      </c>
      <c r="F35" s="378" t="n">
        <f aca="false">C35/E35</f>
        <v>0.2</v>
      </c>
      <c r="G35" s="372" t="n">
        <f aca="false">IF(F35&lt;0,0,F35)</f>
        <v>0.2</v>
      </c>
      <c r="AI35" s="379"/>
      <c r="AM35" s="379"/>
    </row>
    <row r="36" customFormat="false" ht="26.25" hidden="false" customHeight="true" outlineLevel="0" collapsed="false">
      <c r="A36" s="352"/>
      <c r="B36" s="367" t="s">
        <v>104</v>
      </c>
      <c r="C36" s="368" t="n">
        <f aca="false">'4. ECG-Matrix'!K17</f>
        <v>17.7777777777778</v>
      </c>
      <c r="D36" s="369" t="str">
        <f aca="false">'12.lan'!$D$214</f>
        <v>of</v>
      </c>
      <c r="E36" s="370" t="n">
        <f aca="false">'4. ECG-Matrix'!M17</f>
        <v>44.4444444444444</v>
      </c>
      <c r="F36" s="378" t="n">
        <f aca="false">C36/E36</f>
        <v>0.4</v>
      </c>
      <c r="G36" s="372" t="n">
        <f aca="false">IF(F36&lt;0,0,F36)</f>
        <v>0.4</v>
      </c>
      <c r="AI36" s="379"/>
      <c r="AM36" s="379"/>
    </row>
    <row r="37" customFormat="false" ht="26.25" hidden="false" customHeight="true" outlineLevel="0" collapsed="false">
      <c r="A37" s="352"/>
      <c r="B37" s="367" t="s">
        <v>108</v>
      </c>
      <c r="C37" s="368" t="n">
        <f aca="false">'4. ECG-Matrix'!O17</f>
        <v>26.6666666666667</v>
      </c>
      <c r="D37" s="369" t="str">
        <f aca="false">'12.lan'!$D$214</f>
        <v>of</v>
      </c>
      <c r="E37" s="370" t="n">
        <f aca="false">'4. ECG-Matrix'!Q17</f>
        <v>44.4444444444444</v>
      </c>
      <c r="F37" s="378" t="n">
        <f aca="false">C37/E37</f>
        <v>0.6</v>
      </c>
      <c r="G37" s="372" t="n">
        <f aca="false">IF(F37&lt;0,0,F37)</f>
        <v>0.6</v>
      </c>
      <c r="AI37" s="379"/>
      <c r="AM37" s="379"/>
    </row>
    <row r="38" customFormat="false" ht="30" hidden="false" customHeight="true" outlineLevel="0" collapsed="false">
      <c r="A38" s="352"/>
      <c r="B38" s="373" t="str">
        <f aca="false">'12.lan'!D228</f>
        <v>TOTAL</v>
      </c>
      <c r="C38" s="374" t="n">
        <f aca="false">'3. Calc'!I4</f>
        <v>223.333333333333</v>
      </c>
      <c r="D38" s="380" t="str">
        <f aca="false">'12.lan'!$D$214</f>
        <v>of</v>
      </c>
      <c r="E38" s="376" t="n">
        <f aca="false">'3. Calc'!J4</f>
        <v>1000</v>
      </c>
      <c r="F38" s="381" t="n">
        <f aca="false">C38/E38</f>
        <v>0.223333333333333</v>
      </c>
    </row>
    <row r="39" customFormat="false" ht="14.1" hidden="false" customHeight="true" outlineLevel="0" collapsed="false">
      <c r="A39" s="352"/>
      <c r="B39" s="352"/>
      <c r="C39" s="352"/>
      <c r="D39" s="353"/>
      <c r="E39" s="352"/>
      <c r="F39" s="354"/>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33</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2021-03-02T11:32:46Z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