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dia/image13.png" ContentType="image/png"/>
  <Override PartName="/xl/media/image14.png" ContentType="image/png"/>
  <Override PartName="/xl/media/image15.png" ContentType="image/png"/>
  <Override PartName="/xl/media/image16.png" ContentType="image/png"/>
  <Override PartName="/xl/media/image17.png" ContentType="image/png"/>
  <Override PartName="/xl/media/image18.png" ContentType="image/png"/>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0. Intro" sheetId="1" state="visible" r:id="rId2"/>
    <sheet name="1. General" sheetId="2" state="visible" r:id="rId3"/>
    <sheet name="2. Company Facts" sheetId="3" state="visible" r:id="rId4"/>
    <sheet name="3. Calc" sheetId="4" state="visible" r:id="rId5"/>
    <sheet name="9. Weighting" sheetId="5" state="hidden" r:id="rId6"/>
    <sheet name="4. ECG-Matrix" sheetId="6" state="visible" r:id="rId7"/>
    <sheet name="5. Values" sheetId="7" state="visible" r:id="rId8"/>
    <sheet name="6. Stakeholder" sheetId="8" state="visible" r:id="rId9"/>
    <sheet name="7. Topics" sheetId="9" state="visible" r:id="rId10"/>
    <sheet name="8. Descr.Weighting" sheetId="10" state="visible" r:id="rId11"/>
    <sheet name="10. Industry" sheetId="11" state="hidden" r:id="rId12"/>
    <sheet name="11.Region" sheetId="12" state="hidden" r:id="rId13"/>
    <sheet name="12.ppp data" sheetId="13" state="hidden" r:id="rId14"/>
    <sheet name="12.lan" sheetId="14" state="hidden" r:id="rId15"/>
  </sheets>
  <definedNames>
    <definedName function="false" hidden="false" name="Branche" vbProcedure="false">'10. Industry'!$B$4:$B$32</definedName>
    <definedName function="false" hidden="false" name="Branchen" vbProcedure="false">'10. Industry'!$B$4:$B$32</definedName>
    <definedName function="false" hidden="false" name="CountryCodes" vbProcedure="false">'11.Region'!$A$22:$A$243</definedName>
    <definedName function="false" hidden="false" name="JaNein" vbProcedure="false">'2. Company Facts'!$D$34:$F$34</definedName>
    <definedName function="false" hidden="false" name="Regionen" vbProcedure="false">'11.Region'!$A$21:$A$243</definedName>
    <definedName function="false" hidden="false" name="__xlfn_IFERROR" vbProcedure="false">#N/A</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F10" authorId="0">
      <text>
        <r>
          <rPr>
            <sz val="8"/>
            <color rgb="FF000000"/>
            <rFont val="Segoe UI"/>
            <family val="2"/>
            <charset val="1"/>
          </rPr>
          <t xml:space="preserve">please insert the total expenditures on the supply chain. This does not include taxes, royalties and finance costs. </t>
        </r>
      </text>
    </comment>
    <comment ref="F12" authorId="0">
      <text>
        <r>
          <rPr>
            <sz val="8"/>
            <color rgb="FF000000"/>
            <rFont val="Segoe UI"/>
            <family val="2"/>
            <charset val="1"/>
          </rPr>
          <t xml:space="preserve">Please in the five most important industries your companies purchased goods or services from. </t>
        </r>
      </text>
    </comment>
    <comment ref="F19" authorId="0">
      <text>
        <r>
          <rPr>
            <sz val="8"/>
            <color rgb="FF000000"/>
            <rFont val="Segoe UI"/>
            <family val="2"/>
            <charset val="1"/>
          </rPr>
          <t xml:space="preserve">please insert the profit after tax of the company</t>
        </r>
      </text>
    </comment>
    <comment ref="F21" authorId="0">
      <text>
        <r>
          <rPr>
            <sz val="8"/>
            <color rgb="FF000000"/>
            <rFont val="Segoe UI"/>
            <family val="2"/>
            <charset val="1"/>
          </rPr>
          <t xml:space="preserve">please insert the total amount of finance costs (expenses for interest, distributed profits to external persons, etc.).</t>
        </r>
      </text>
    </comment>
    <comment ref="F24" authorId="0">
      <text>
        <r>
          <rPr>
            <sz val="8"/>
            <color rgb="FF000000"/>
            <rFont val="Segoe UI"/>
            <family val="2"/>
            <charset val="1"/>
          </rPr>
          <t xml:space="preserve">
please insert the sum of financial instrument, (e.g. bonds, pensions funds) and deposit at banks or a rough estimate</t>
        </r>
      </text>
    </comment>
    <comment ref="F25" authorId="0">
      <text>
        <r>
          <rPr>
            <sz val="8"/>
            <color rgb="FF000000"/>
            <rFont val="Segoe UI"/>
            <family val="2"/>
            <charset val="1"/>
          </rPr>
          <t xml:space="preserve">please insert the total expenditures on employees (wages and salaries without social expenditures)</t>
        </r>
      </text>
    </comment>
    <comment ref="F26" authorId="0">
      <text>
        <r>
          <rPr>
            <sz val="8"/>
            <color rgb="FF000000"/>
            <rFont val="Segoe UI"/>
            <family val="2"/>
            <charset val="1"/>
          </rPr>
          <t xml:space="preserve">please insert the total number of employees by full-time-equivalents</t>
        </r>
      </text>
    </comment>
    <comment ref="F30" authorId="0">
      <text>
        <r>
          <rPr>
            <sz val="8"/>
            <color rgb="FF000000"/>
            <rFont val="Segoe UI"/>
            <family val="2"/>
            <charset val="1"/>
          </rPr>
          <t xml:space="preserve">please insert the (estimated) average distance of the employees from the company in km</t>
        </r>
      </text>
    </comment>
    <comment ref="F31" authorId="0">
      <text>
        <r>
          <rPr>
            <sz val="8"/>
            <color rgb="FF000000"/>
            <rFont val="Segoe UI"/>
            <family val="2"/>
            <charset val="1"/>
          </rPr>
          <t xml:space="preserve">Does a company cantine exist, which more than 50% of the employee use?</t>
        </r>
      </text>
    </comment>
    <comment ref="F32" authorId="0">
      <text>
        <r>
          <rPr>
            <sz val="8"/>
            <color rgb="FF000000"/>
            <rFont val="Segoe UI"/>
            <family val="2"/>
            <charset val="1"/>
          </rPr>
          <t xml:space="preserve">please insert the total sales (source:  income statement)</t>
        </r>
      </text>
    </comment>
    <comment ref="F34" authorId="0">
      <text>
        <r>
          <rPr>
            <sz val="8"/>
            <color rgb="FF000000"/>
            <rFont val="Segoe UI"/>
            <family val="2"/>
            <charset val="1"/>
          </rPr>
          <t xml:space="preserve">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12" authorId="0">
      <text>
        <r>
          <rPr>
            <sz val="8"/>
            <color rgb="FF000000"/>
            <rFont val="Cambria"/>
            <family val="1"/>
            <charset val="1"/>
          </rPr>
          <t xml:space="preserve">Please describe in the five most importantgoods or services your company purchased 
</t>
        </r>
      </text>
    </comment>
    <comment ref="G22" authorId="0">
      <text>
        <r>
          <rPr>
            <sz val="11"/>
            <color rgb="FF000000"/>
            <rFont val="Calibri"/>
            <family val="2"/>
            <charset val="1"/>
          </rPr>
          <t xml:space="preserve">T410:
</t>
        </r>
        <r>
          <rPr>
            <sz val="8"/>
            <color rgb="FF000000"/>
            <rFont val="Segoe UI"/>
            <family val="2"/>
            <charset val="1"/>
          </rPr>
          <t xml:space="preserve">please insert the total finance income (e.g. interests received)</t>
        </r>
      </text>
    </comment>
    <comment ref="G23" authorId="0">
      <text>
        <r>
          <rPr>
            <sz val="8"/>
            <color rgb="FF000000"/>
            <rFont val="Segoe UI"/>
            <family val="2"/>
            <charset val="1"/>
          </rPr>
          <t xml:space="preserve">please insert the total assets of the balance sheet</t>
        </r>
      </text>
    </comment>
    <comment ref="G27" authorId="0">
      <text>
        <r>
          <rPr>
            <sz val="8"/>
            <color rgb="FF000000"/>
            <rFont val="Segoe UI"/>
            <family val="2"/>
            <charset val="1"/>
          </rPr>
          <t xml:space="preserve">please name the country with the most employees and their precentage of all employees</t>
        </r>
      </text>
    </comment>
    <comment ref="G28" authorId="0">
      <text>
        <r>
          <rPr>
            <sz val="8"/>
            <color rgb="FF000000"/>
            <rFont val="Segoe UI"/>
            <family val="2"/>
            <charset val="1"/>
          </rPr>
          <t xml:space="preserve">please name the country with the 2nd most employees and their precentage of all employees</t>
        </r>
      </text>
    </comment>
    <comment ref="G29" authorId="0">
      <text>
        <r>
          <rPr>
            <sz val="8"/>
            <color rgb="FF000000"/>
            <rFont val="Segoe UI"/>
            <family val="2"/>
            <charset val="1"/>
          </rPr>
          <t xml:space="preserve">please name the country with the 3rd most employees and their precentage of all employees</t>
        </r>
      </text>
    </comment>
    <comment ref="G34" authorId="0">
      <text>
        <r>
          <rPr>
            <sz val="8"/>
            <color rgb="FF000000"/>
            <rFont val="Segoe UI"/>
            <family val="2"/>
            <charset val="1"/>
          </rPr>
          <t xml:space="preserve">please insert a short description of the service and product</t>
        </r>
      </text>
    </comment>
    <comment ref="H12" authorId="0">
      <text>
        <r>
          <rPr>
            <sz val="8"/>
            <color rgb="FF000000"/>
            <rFont val="Segoe UI"/>
            <family val="2"/>
            <charset val="1"/>
          </rPr>
          <t xml:space="preserve">Please select the region where the five most important  purchased goods or services are produced. Select, as far as possible, the region where the most important step happens (e.g. extraction, production )</t>
        </r>
      </text>
    </comment>
    <comment ref="H24" authorId="0">
      <text>
        <r>
          <rPr>
            <sz val="8"/>
            <color rgb="FF000000"/>
            <rFont val="Segoe UI"/>
            <family val="2"/>
            <charset val="1"/>
          </rPr>
          <t xml:space="preserve">
please insert the sum of financial instrument, (e.g. bonds, pensions funds) and deposit at banks or a rough estimate</t>
        </r>
      </text>
    </comment>
    <comment ref="I12" authorId="0">
      <text>
        <r>
          <rPr>
            <sz val="8"/>
            <color rgb="FF000000"/>
            <rFont val="Segoe UI"/>
            <family val="2"/>
            <charset val="1"/>
          </rPr>
          <t xml:space="preserve">Please insert the amounts spent for the five most important industries your companies purchased goods or services from. </t>
        </r>
      </text>
    </comment>
    <comment ref="M10" authorId="0">
      <text>
        <r>
          <rPr>
            <sz val="8"/>
            <color rgb="FF000000"/>
            <rFont val="Arial"/>
            <family val="2"/>
            <charset val="1"/>
          </rPr>
          <t xml:space="preserve">the weighting of topics is dependent on the social risk of the industry of the supplier (see country rating). The social risk is currently deduced from societal controversies in the respective industry. In future a more elaborate approach is aimed</t>
        </r>
      </text>
    </comment>
    <comment ref="M19" authorId="0">
      <text>
        <r>
          <rPr>
            <sz val="8"/>
            <color rgb="FF000000"/>
            <rFont val="Segoe UI"/>
            <family val="2"/>
            <charset val="1"/>
          </rPr>
          <t xml:space="preserve">the weighting of this topics is dependent on the ratio of sales / total assets. The lower the ratio, the higher is the rating</t>
        </r>
      </text>
    </comment>
    <comment ref="N10" authorId="0">
      <text>
        <r>
          <rPr>
            <sz val="8"/>
            <color rgb="FF000000"/>
            <rFont val="Segoe UI"/>
            <family val="2"/>
            <charset val="1"/>
          </rPr>
          <t xml:space="preserve">currently no weighting, one idea: regional minimum wages / gini-coefficient?
</t>
        </r>
      </text>
    </comment>
    <comment ref="N19" authorId="0">
      <text>
        <r>
          <rPr>
            <sz val="8"/>
            <color rgb="FF000000"/>
            <rFont val="Segoe UI"/>
            <family val="2"/>
            <charset val="1"/>
          </rPr>
          <t xml:space="preserve">the weighting of this topics is dependent on the amount of the ratio  (profit / turnover)</t>
        </r>
      </text>
    </comment>
    <comment ref="N38" authorId="0">
      <text>
        <r>
          <rPr>
            <sz val="8"/>
            <color rgb="FF000000"/>
            <rFont val="Segoe UI"/>
            <family val="2"/>
            <charset val="1"/>
          </rPr>
          <t xml:space="preserve">the weighting of this topics is dependent on the amount of the ratio  (profit / turnover)</t>
        </r>
      </text>
    </comment>
    <comment ref="O10" authorId="0">
      <text>
        <r>
          <rPr>
            <sz val="8"/>
            <color rgb="FF000000"/>
            <rFont val="Segoe UI"/>
            <family val="2"/>
            <charset val="1"/>
          </rPr>
          <t xml:space="preserve">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O19" authorId="0">
      <text>
        <r>
          <rPr>
            <sz val="8"/>
            <color rgb="FF000000"/>
            <rFont val="Segoe UI"/>
            <family val="2"/>
            <charset val="1"/>
          </rPr>
          <t xml:space="preserve">the weighting of this topics is dependent on the interest received for invested capital in relation to the turnover</t>
        </r>
      </text>
    </comment>
    <comment ref="O25" authorId="0">
      <text>
        <r>
          <rPr>
            <sz val="8"/>
            <color rgb="FF000000"/>
            <rFont val="Segoe UI"/>
            <family val="2"/>
            <charset val="1"/>
          </rPr>
          <t xml:space="preserve">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O32" authorId="0">
      <text>
        <r>
          <rPr>
            <sz val="8"/>
            <color rgb="FF000000"/>
            <rFont val="Segoe UI"/>
            <family val="2"/>
            <charset val="1"/>
          </rPr>
          <t xml:space="preserve">the weighting of topic is dependent on the envrionmental risk of the industry. The risk is currently deduced from interviews with experts and media research. Based on environmental input-output data more precise data should be available soon</t>
        </r>
      </text>
    </comment>
    <comment ref="O38" authorId="0">
      <text>
        <r>
          <rPr>
            <sz val="8"/>
            <color rgb="FF000000"/>
            <rFont val="Segoe UI"/>
            <family val="2"/>
            <charset val="1"/>
          </rPr>
          <t xml:space="preserve">the weighting of topic is dependent on the envrionmental risk of the industry. The risk is currently deduced from expert interview and media research. Based on environmental input-output data more precise data should be available soon</t>
        </r>
      </text>
    </comment>
    <comment ref="P10" authorId="0">
      <text>
        <r>
          <rPr>
            <sz val="8"/>
            <color rgb="FF000000"/>
            <rFont val="Segoe UI"/>
            <family val="2"/>
            <charset val="1"/>
          </rPr>
          <t xml:space="preserve">The weighting of topics is dependent on the labour participation rights in the countries of origin of the most important purchased goods and services and is based on the ILUC-Index of the International Labour Union (ILO)</t>
        </r>
      </text>
    </comment>
    <comment ref="P19" authorId="0">
      <text>
        <r>
          <rPr>
            <sz val="8"/>
            <color rgb="FF000000"/>
            <rFont val="Segoe UI"/>
            <family val="2"/>
            <charset val="1"/>
          </rPr>
          <t xml:space="preserve">the weighting of this topics is dependent on the size of the company </t>
        </r>
      </text>
    </comment>
    <comment ref="P25" authorId="0">
      <text>
        <r>
          <rPr>
            <sz val="8"/>
            <color rgb="FF000000"/>
            <rFont val="Segoe UI"/>
            <family val="2"/>
            <charset val="1"/>
          </rPr>
          <t xml:space="preserve">the weighting of this topics is dependent on the size of the company </t>
        </r>
      </text>
    </comment>
    <comment ref="P32" authorId="0">
      <text>
        <r>
          <rPr>
            <b val="true"/>
            <sz val="8"/>
            <color rgb="FF000000"/>
            <rFont val="Segoe UI"/>
            <family val="2"/>
            <charset val="1"/>
          </rPr>
          <t xml:space="preserve">The Weighting is low if the company has almost entirely B2B-business</t>
        </r>
      </text>
    </comment>
    <comment ref="P38" authorId="0">
      <text>
        <r>
          <rPr>
            <sz val="8"/>
            <color rgb="FF000000"/>
            <rFont val="Segoe UI"/>
            <family val="2"/>
            <charset val="1"/>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<sst xmlns="http://schemas.openxmlformats.org/spreadsheetml/2006/main" count="4991" uniqueCount="3211">
  <si>
    <t xml:space="preserve">Select your language</t>
  </si>
  <si>
    <t xml:space="preserve">5.04</t>
  </si>
  <si>
    <t xml:space="preserve">a)</t>
  </si>
  <si>
    <t xml:space="preserve">b)</t>
  </si>
  <si>
    <t xml:space="preserve">c)</t>
  </si>
  <si>
    <t xml:space="preserve">d)</t>
  </si>
  <si>
    <t xml:space="preserve">e)</t>
  </si>
  <si>
    <t xml:space="preserve">company</t>
  </si>
  <si>
    <t xml:space="preserve">adresse</t>
  </si>
  <si>
    <t xml:space="preserve">germany</t>
  </si>
  <si>
    <t xml:space="preserve">a sector</t>
  </si>
  <si>
    <t xml:space="preserve">foo.bar.de</t>
  </si>
  <si>
    <t xml:space="preserve">Mr Smith</t>
  </si>
  <si>
    <t xml:space="preserve">mail@bla.com</t>
  </si>
  <si>
    <t xml:space="preserve">this is just a description</t>
  </si>
  <si>
    <t xml:space="preserve">comments for some bla…</t>
  </si>
  <si>
    <t xml:space="preserve">Ja</t>
  </si>
  <si>
    <t xml:space="preserve">Nein</t>
  </si>
  <si>
    <t xml:space="preserve">ausblenden</t>
  </si>
  <si>
    <t xml:space="preserve">ausblenben</t>
  </si>
  <si>
    <t xml:space="preserve">Gewichtung Standard</t>
  </si>
  <si>
    <t xml:space="preserve">Reset</t>
  </si>
  <si>
    <t xml:space="preserve">A</t>
  </si>
  <si>
    <t xml:space="preserve">A1</t>
  </si>
  <si>
    <t xml:space="preserve">A1.1</t>
  </si>
  <si>
    <t xml:space="preserve">A1.2</t>
  </si>
  <si>
    <t xml:space="preserve">A2</t>
  </si>
  <si>
    <t xml:space="preserve">A2.1</t>
  </si>
  <si>
    <t xml:space="preserve">A2.2</t>
  </si>
  <si>
    <t xml:space="preserve">A2.3</t>
  </si>
  <si>
    <t xml:space="preserve">A3</t>
  </si>
  <si>
    <t xml:space="preserve">A3.1</t>
  </si>
  <si>
    <t xml:space="preserve">A3.2</t>
  </si>
  <si>
    <t xml:space="preserve">A4</t>
  </si>
  <si>
    <t xml:space="preserve">A4.1</t>
  </si>
  <si>
    <t xml:space="preserve">A4.2</t>
  </si>
  <si>
    <t xml:space="preserve">B</t>
  </si>
  <si>
    <t xml:space="preserve">B1</t>
  </si>
  <si>
    <t xml:space="preserve">B1.1</t>
  </si>
  <si>
    <t xml:space="preserve">B1.2</t>
  </si>
  <si>
    <t xml:space="preserve">B1.3</t>
  </si>
  <si>
    <t xml:space="preserve">B2</t>
  </si>
  <si>
    <t xml:space="preserve">B2.1</t>
  </si>
  <si>
    <t xml:space="preserve">B2.2</t>
  </si>
  <si>
    <t xml:space="preserve">B3</t>
  </si>
  <si>
    <t xml:space="preserve">B3.1</t>
  </si>
  <si>
    <t xml:space="preserve">B3.2</t>
  </si>
  <si>
    <t xml:space="preserve">B3.3</t>
  </si>
  <si>
    <t xml:space="preserve">B4</t>
  </si>
  <si>
    <t xml:space="preserve">B4.1</t>
  </si>
  <si>
    <t xml:space="preserve">B4.2</t>
  </si>
  <si>
    <t xml:space="preserve">C</t>
  </si>
  <si>
    <t xml:space="preserve">C1</t>
  </si>
  <si>
    <t xml:space="preserve">C1.1</t>
  </si>
  <si>
    <t xml:space="preserve">C1.2</t>
  </si>
  <si>
    <t xml:space="preserve">C1.3</t>
  </si>
  <si>
    <t xml:space="preserve">C1.4</t>
  </si>
  <si>
    <t xml:space="preserve">C2</t>
  </si>
  <si>
    <t xml:space="preserve">C2.1</t>
  </si>
  <si>
    <t xml:space="preserve">C2.2</t>
  </si>
  <si>
    <t xml:space="preserve">C2.3</t>
  </si>
  <si>
    <t xml:space="preserve">C2.4</t>
  </si>
  <si>
    <t xml:space="preserve">C3</t>
  </si>
  <si>
    <t xml:space="preserve">C3.1</t>
  </si>
  <si>
    <t xml:space="preserve">C3.2</t>
  </si>
  <si>
    <t xml:space="preserve">C3.3</t>
  </si>
  <si>
    <t xml:space="preserve">C3.4</t>
  </si>
  <si>
    <t xml:space="preserve">C4</t>
  </si>
  <si>
    <t xml:space="preserve">C4.1</t>
  </si>
  <si>
    <t xml:space="preserve">C4.2</t>
  </si>
  <si>
    <t xml:space="preserve">C4.3</t>
  </si>
  <si>
    <t xml:space="preserve">C4.4</t>
  </si>
  <si>
    <t xml:space="preserve">D</t>
  </si>
  <si>
    <t xml:space="preserve">D1</t>
  </si>
  <si>
    <t xml:space="preserve">D1.1</t>
  </si>
  <si>
    <t xml:space="preserve">D1.2</t>
  </si>
  <si>
    <t xml:space="preserve">D1.3</t>
  </si>
  <si>
    <t xml:space="preserve">D2</t>
  </si>
  <si>
    <t xml:space="preserve">D2.1</t>
  </si>
  <si>
    <t xml:space="preserve">D2.2</t>
  </si>
  <si>
    <t xml:space="preserve">D2.3</t>
  </si>
  <si>
    <t xml:space="preserve">D3</t>
  </si>
  <si>
    <t xml:space="preserve">D3.1</t>
  </si>
  <si>
    <t xml:space="preserve">D3.2</t>
  </si>
  <si>
    <t xml:space="preserve">D3.3</t>
  </si>
  <si>
    <t xml:space="preserve">D4</t>
  </si>
  <si>
    <t xml:space="preserve">D4.1</t>
  </si>
  <si>
    <t xml:space="preserve">D4.2</t>
  </si>
  <si>
    <t xml:space="preserve">E</t>
  </si>
  <si>
    <t xml:space="preserve">E1</t>
  </si>
  <si>
    <t xml:space="preserve">E1.1</t>
  </si>
  <si>
    <t xml:space="preserve">E1.2</t>
  </si>
  <si>
    <t xml:space="preserve">E1.3</t>
  </si>
  <si>
    <t xml:space="preserve">E2</t>
  </si>
  <si>
    <t xml:space="preserve">E2.1</t>
  </si>
  <si>
    <t xml:space="preserve">E2.2</t>
  </si>
  <si>
    <t xml:space="preserve">E2.3</t>
  </si>
  <si>
    <t xml:space="preserve">E2.4</t>
  </si>
  <si>
    <t xml:space="preserve">E3</t>
  </si>
  <si>
    <t xml:space="preserve">E3.1</t>
  </si>
  <si>
    <t xml:space="preserve">E3.2</t>
  </si>
  <si>
    <t xml:space="preserve">E3.3</t>
  </si>
  <si>
    <t xml:space="preserve">E4</t>
  </si>
  <si>
    <t xml:space="preserve">E4.1</t>
  </si>
  <si>
    <t xml:space="preserve">E4.2</t>
  </si>
  <si>
    <t xml:space="preserve">E4.3</t>
  </si>
  <si>
    <t xml:space="preserve">MATRIX 5.0</t>
  </si>
  <si>
    <t xml:space="preserve">VALUES WERTE</t>
  </si>
  <si>
    <t xml:space="preserve">1) HUMAN DIGNITY </t>
  </si>
  <si>
    <t xml:space="preserve">2) SOLIDARITY &amp;  JUSTICE</t>
  </si>
  <si>
    <t xml:space="preserve">3) ECOLOGICAL SUSTAINABILITY</t>
  </si>
  <si>
    <t xml:space="preserve">4) DEMOCRATIC CO-DETERMINATION AND TRANSPARENCY</t>
  </si>
  <si>
    <t xml:space="preserve">Total Sales (in Mio Euro)</t>
  </si>
  <si>
    <t xml:space="preserve">Total Assets (in Mio Euro)</t>
  </si>
  <si>
    <t xml:space="preserve">fields necessary to fill out</t>
  </si>
  <si>
    <t xml:space="preserve">these field contains a comment on the necesarry information for cells to be filled out or on the weighting in general</t>
  </si>
  <si>
    <t xml:space="preserve">STAKEHOLDER                                                    BERÜHRUNGSGGRUPPE</t>
  </si>
  <si>
    <t xml:space="preserve">Gesamt-Ausgaben an Lieferanten / total expenditures on the supply chain</t>
  </si>
  <si>
    <t xml:space="preserve">A: SUPPLIERS</t>
  </si>
  <si>
    <t xml:space="preserve">NACE</t>
  </si>
  <si>
    <t xml:space="preserve">Industry</t>
  </si>
  <si>
    <t xml:space="preserve">Product / Services Description</t>
  </si>
  <si>
    <t xml:space="preserve">Region</t>
  </si>
  <si>
    <t xml:space="preserve">Expenditures</t>
  </si>
  <si>
    <t xml:space="preserve">Rest</t>
  </si>
  <si>
    <t xml:space="preserve">profit </t>
  </si>
  <si>
    <t xml:space="preserve">B: INVESTORS</t>
  </si>
  <si>
    <t xml:space="preserve">profit in % of total Sales </t>
  </si>
  <si>
    <t xml:space="preserve">profit</t>
  </si>
  <si>
    <t xml:space="preserve">EQ-Quote</t>
  </si>
  <si>
    <t xml:space="preserve">costs of finance</t>
  </si>
  <si>
    <t xml:space="preserve">&lt;-- (zugänge anlageverm.+financial assets)/total assets</t>
  </si>
  <si>
    <t xml:space="preserve">finance income</t>
  </si>
  <si>
    <t xml:space="preserve">&lt;-- ratio: sales/assets</t>
  </si>
  <si>
    <t xml:space="preserve">total assets</t>
  </si>
  <si>
    <t xml:space="preserve">"zugänge zum anlagevermögen"</t>
  </si>
  <si>
    <t xml:space="preserve">"invested money"</t>
  </si>
  <si>
    <t xml:space="preserve">employee expenditures</t>
  </si>
  <si>
    <t xml:space="preserve">C: EMPLOYEES</t>
  </si>
  <si>
    <t xml:space="preserve">number of FTE </t>
  </si>
  <si>
    <t xml:space="preserve">Does an Cantine for the majority of employees exist?</t>
  </si>
  <si>
    <t xml:space="preserve">companay szie</t>
  </si>
  <si>
    <t xml:space="preserve">% employees  in </t>
  </si>
  <si>
    <t xml:space="preserve">% employees in </t>
  </si>
  <si>
    <t xml:space="preserve">potential commuting impact</t>
  </si>
  <si>
    <t xml:space="preserve">existence of a company canteen</t>
  </si>
  <si>
    <t xml:space="preserve">total sales</t>
  </si>
  <si>
    <t xml:space="preserve">D: CUSTOMERS</t>
  </si>
  <si>
    <t xml:space="preserve">B2B / B2C</t>
  </si>
  <si>
    <t xml:space="preserve">industry</t>
  </si>
  <si>
    <t xml:space="preserve">% of total sales</t>
  </si>
  <si>
    <t xml:space="preserve">E: SOCIETY</t>
  </si>
  <si>
    <t xml:space="preserve">Company Size (EU definition)</t>
  </si>
  <si>
    <t xml:space="preserve">1) HUMAN DIGNITY</t>
  </si>
  <si>
    <t xml:space="preserve">2) COOPERATION AND SOLIDARITY</t>
  </si>
  <si>
    <t xml:space="preserve">5) DEMOCRATIC CO-DETERMINATION AND TRANSPARENCY</t>
  </si>
  <si>
    <t xml:space="preserve">Weighting Points</t>
  </si>
  <si>
    <t xml:space="preserve">Selected Weighting</t>
  </si>
  <si>
    <t xml:space="preserve">trifft nicht zu</t>
  </si>
  <si>
    <t xml:space="preserve">niedrig</t>
  </si>
  <si>
    <t xml:space="preserve">mittel</t>
  </si>
  <si>
    <t xml:space="preserve">hoch</t>
  </si>
  <si>
    <t xml:space="preserve">sehr hoch</t>
  </si>
  <si>
    <t xml:space="preserve">DIFFERENCE TO MATRIX 4.0 WEIGHTING</t>
  </si>
  <si>
    <t xml:space="preserve">-</t>
  </si>
  <si>
    <t xml:space="preserve">INDUSTRY WEIGHTING - COMMON GOOD MATRIX</t>
  </si>
  <si>
    <r>
      <rPr>
        <b val="true"/>
        <sz val="8"/>
        <color rgb="FFFFFFFF"/>
        <rFont val="Arial"/>
        <family val="2"/>
        <charset val="1"/>
      </rPr>
      <t xml:space="preserve">INDUSTRY</t>
    </r>
    <r>
      <rPr>
        <sz val="8"/>
        <color rgb="FFFFFFFF"/>
        <rFont val="Arial"/>
        <family val="2"/>
        <charset val="1"/>
      </rPr>
      <t xml:space="preserve"> </t>
    </r>
  </si>
  <si>
    <t xml:space="preserve">A1 -social risks in the Supply Chain</t>
  </si>
  <si>
    <t xml:space="preserve">A3 -ecological sustainability in the Supply Chain</t>
  </si>
  <si>
    <t xml:space="preserve">D3 - Ecological Design of products and services</t>
  </si>
  <si>
    <t xml:space="preserve">E3 -  Reduction of Environmental Impact</t>
  </si>
  <si>
    <t xml:space="preserve">E4 - Social transparency and co-
determination</t>
  </si>
  <si>
    <t xml:space="preserve">A3 - Ecologicla Supply Chain Risk</t>
  </si>
  <si>
    <t xml:space="preserve">(based UN International Standard Industrial Classification of All Economic Activities, Rev.4 -http://unstats.un.org/unsd/cr/registry/regcst.asp?Cl=27)</t>
  </si>
  <si>
    <t xml:space="preserve">weighting</t>
  </si>
  <si>
    <t xml:space="preserve">argumentation: based on the social risks in the industry</t>
  </si>
  <si>
    <r>
      <rPr>
        <b val="true"/>
        <sz val="7"/>
        <color rgb="FF000000"/>
        <rFont val="Arial"/>
        <family val="2"/>
        <charset val="1"/>
      </rPr>
      <t xml:space="preserve">argumentation: </t>
    </r>
    <r>
      <rPr>
        <sz val="7"/>
        <color rgb="FF000000"/>
        <rFont val="Arial"/>
        <family val="2"/>
        <charset val="1"/>
      </rPr>
      <t xml:space="preserve">based on ecological impact on the planterary boundaries in the supply cahin (studies and the use of quantitative models - e.g. ecological footprint - will be applied herefor)</t>
    </r>
  </si>
  <si>
    <r>
      <rPr>
        <b val="true"/>
        <sz val="7"/>
        <color rgb="FF000000"/>
        <rFont val="Arial"/>
        <family val="2"/>
        <charset val="1"/>
      </rPr>
      <t xml:space="preserve">argumentation: </t>
    </r>
    <r>
      <rPr>
        <sz val="7"/>
        <color rgb="FF000000"/>
        <rFont val="Arial"/>
        <family val="2"/>
        <charset val="1"/>
      </rPr>
      <t xml:space="preserve">based on the products / service impact on the planterary boundaries in the use phase (studies and the use of quantitative models - e.g. ecological footprint - will be applied herefor)</t>
    </r>
  </si>
  <si>
    <t xml:space="preserve">argumentation: based on the sectors direct impact in the production phase on the planterary boundaries (studies and the use of quantitative models will be applied herefor); e.g. sehr hoch: The sector has a major impact of various planetary boundaries</t>
  </si>
  <si>
    <r>
      <rPr>
        <b val="true"/>
        <sz val="7"/>
        <color rgb="FF000000"/>
        <rFont val="Arial"/>
        <family val="2"/>
        <charset val="1"/>
      </rPr>
      <t xml:space="preserve">argumentation: </t>
    </r>
    <r>
      <rPr>
        <sz val="7"/>
        <color rgb="FF000000"/>
        <rFont val="Arial"/>
        <family val="2"/>
        <charset val="1"/>
      </rPr>
      <t xml:space="preserve">the weighting is depending on the impact the industry has particularly on the adjacent environment
</t>
    </r>
  </si>
  <si>
    <t xml:space="preserve">argumentation: based on the sectors direct impact in the production phase on the planterary boundaries (studies and the use of quantitative models will be applied herefor)
sehr hoch: The sector has a major impact of various planetary boundaries</t>
  </si>
  <si>
    <t xml:space="preserve">A </t>
  </si>
  <si>
    <t xml:space="preserve">ist E3?</t>
  </si>
  <si>
    <t xml:space="preserve">the main impacts are in the production phase</t>
  </si>
  <si>
    <t xml:space="preserve">major direct impact on various planetary boundaries in the production (climate change, N/P-cycle, biodiversity, land-use-change) </t>
  </si>
  <si>
    <t xml:space="preserve">B </t>
  </si>
  <si>
    <t xml:space="preserve">major impact on eco-systems</t>
  </si>
  <si>
    <t xml:space="preserve">C </t>
  </si>
  <si>
    <t xml:space="preserve">Please note: This industry is very heterogen. </t>
  </si>
  <si>
    <t xml:space="preserve">Ca</t>
  </si>
  <si>
    <t xml:space="preserve">Cb</t>
  </si>
  <si>
    <t xml:space="preserve">Cc</t>
  </si>
  <si>
    <t xml:space="preserve">Cd</t>
  </si>
  <si>
    <t xml:space="preserve">Ce</t>
  </si>
  <si>
    <t xml:space="preserve">residues for some pharmaproducts critical</t>
  </si>
  <si>
    <t xml:space="preserve">Cf</t>
  </si>
  <si>
    <t xml:space="preserve">Cg</t>
  </si>
  <si>
    <t xml:space="preserve">Ch</t>
  </si>
  <si>
    <t xml:space="preserve">D </t>
  </si>
  <si>
    <t xml:space="preserve">major impact on climate change</t>
  </si>
  <si>
    <t xml:space="preserve">E </t>
  </si>
  <si>
    <t xml:space="preserve">F </t>
  </si>
  <si>
    <t xml:space="preserve">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</si>
  <si>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</si>
  <si>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</si>
  <si>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</si>
  <si>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</si>
  <si>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</si>
  <si>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</si>
  <si>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</si>
  <si>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</si>
  <si>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</si>
  <si>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</si>
  <si>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</si>
  <si>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</si>
  <si>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</si>
  <si>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t>
  </si>
  <si>
    <t xml:space="preserve">U </t>
  </si>
  <si>
    <t xml:space="preserve">Branche 1</t>
  </si>
  <si>
    <t xml:space="preserve">Branche 2</t>
  </si>
  <si>
    <t xml:space="preserve">Branche 3</t>
  </si>
  <si>
    <t xml:space="preserve">ÖKOLOGISCHE BRANCHENGEWICHTUNGEN</t>
  </si>
  <si>
    <t xml:space="preserve">SUPPLIERS AND EMPLOYEE WEIGHTING RATIO</t>
  </si>
  <si>
    <t xml:space="preserve">added value of suppliers (source: income statement)</t>
  </si>
  <si>
    <r>
      <rPr>
        <sz val="8"/>
        <color rgb="FFFFFFFF"/>
        <rFont val="Arial"/>
        <family val="2"/>
        <charset val="1"/>
      </rPr>
      <t xml:space="preserve">Splitted added value </t>
    </r>
    <r>
      <rPr>
        <sz val="8"/>
        <color rgb="FFDD0806"/>
        <rFont val="Arial"/>
        <family val="2"/>
        <charset val="1"/>
      </rPr>
      <t xml:space="preserve">(source¿?)</t>
    </r>
  </si>
  <si>
    <t xml:space="preserve">Country</t>
  </si>
  <si>
    <r>
      <rPr>
        <sz val="8"/>
        <color rgb="FFFFFFFF"/>
        <rFont val="Arial"/>
        <family val="2"/>
        <charset val="1"/>
      </rPr>
      <t xml:space="preserve">PPP index </t>
    </r>
    <r>
      <rPr>
        <sz val="8"/>
        <color rgb="FFDD0806"/>
        <rFont val="Arial"/>
        <family val="2"/>
        <charset val="1"/>
      </rPr>
      <t xml:space="preserve">(source¿?)</t>
    </r>
  </si>
  <si>
    <t xml:space="preserve">Added value adjusted</t>
  </si>
  <si>
    <t xml:space="preserve">Total</t>
  </si>
  <si>
    <t xml:space="preserve">%</t>
  </si>
  <si>
    <t xml:space="preserve">ITUC (average)</t>
  </si>
  <si>
    <t xml:space="preserve">nace</t>
  </si>
  <si>
    <t xml:space="preserve">ecol. Impact (A3)</t>
  </si>
  <si>
    <t xml:space="preserve">social impact (A1)</t>
  </si>
  <si>
    <t xml:space="preserve">Supplier 1</t>
  </si>
  <si>
    <t xml:space="preserve">Supplier 2</t>
  </si>
  <si>
    <t xml:space="preserve">Supplier 3</t>
  </si>
  <si>
    <t xml:space="preserve">Supplier 4</t>
  </si>
  <si>
    <t xml:space="preserve">Supplier 5</t>
  </si>
  <si>
    <t xml:space="preserve">Rest of suppliers</t>
  </si>
  <si>
    <t xml:space="preserve">Supply Chain Gewichtung</t>
  </si>
  <si>
    <t xml:space="preserve">Workers</t>
  </si>
  <si>
    <t xml:space="preserve">Please note that the boxes with a red frame have to be filled out. </t>
  </si>
  <si>
    <t xml:space="preserve">Purchasing Power Parity Tables</t>
  </si>
  <si>
    <t xml:space="preserve">Data Source</t>
  </si>
  <si>
    <t xml:space="preserve">Worldbank Data</t>
  </si>
  <si>
    <t xml:space="preserve">Last Updated Date</t>
  </si>
  <si>
    <t xml:space="preserve">2_2018</t>
  </si>
  <si>
    <t xml:space="preserve">http://data.worldbank.org/indicator/NY.GDP.MKTP.PP.CD</t>
  </si>
  <si>
    <t xml:space="preserve"> </t>
  </si>
  <si>
    <t xml:space="preserve">Country Code</t>
  </si>
  <si>
    <t xml:space="preserve">Country Name</t>
  </si>
  <si>
    <t xml:space="preserve">PPP Factor</t>
  </si>
  <si>
    <t xml:space="preserve">ITUC</t>
  </si>
  <si>
    <t xml:space="preserve">code</t>
  </si>
  <si>
    <t xml:space="preserve">Aruba</t>
  </si>
  <si>
    <t xml:space="preserve">Americas</t>
  </si>
  <si>
    <t xml:space="preserve">est</t>
  </si>
  <si>
    <t xml:space="preserve">ABW</t>
  </si>
  <si>
    <t xml:space="preserve">Afghanistan</t>
  </si>
  <si>
    <t xml:space="preserve">Asia</t>
  </si>
  <si>
    <t xml:space="preserve">AFG</t>
  </si>
  <si>
    <t xml:space="preserve">Angola</t>
  </si>
  <si>
    <t xml:space="preserve">Africa</t>
  </si>
  <si>
    <t xml:space="preserve">AGO</t>
  </si>
  <si>
    <t xml:space="preserve">Albania</t>
  </si>
  <si>
    <t xml:space="preserve">Europe</t>
  </si>
  <si>
    <t xml:space="preserve">ALB</t>
  </si>
  <si>
    <t xml:space="preserve">Andorra</t>
  </si>
  <si>
    <t xml:space="preserve">AND</t>
  </si>
  <si>
    <t xml:space="preserve">United Arab Emirates</t>
  </si>
  <si>
    <t xml:space="preserve">ARE</t>
  </si>
  <si>
    <t xml:space="preserve">Argentina</t>
  </si>
  <si>
    <t xml:space="preserve">ARG</t>
  </si>
  <si>
    <t xml:space="preserve">Armenia</t>
  </si>
  <si>
    <t xml:space="preserve">ARM</t>
  </si>
  <si>
    <t xml:space="preserve">American Samoa</t>
  </si>
  <si>
    <t xml:space="preserve">Oceania</t>
  </si>
  <si>
    <t xml:space="preserve">ASM</t>
  </si>
  <si>
    <t xml:space="preserve">Antigua and Barbuda</t>
  </si>
  <si>
    <t xml:space="preserve">ATG</t>
  </si>
  <si>
    <t xml:space="preserve">Australia</t>
  </si>
  <si>
    <t xml:space="preserve">AUS</t>
  </si>
  <si>
    <t xml:space="preserve">Austria</t>
  </si>
  <si>
    <t xml:space="preserve">AUT</t>
  </si>
  <si>
    <t xml:space="preserve">Azerbaijan</t>
  </si>
  <si>
    <t xml:space="preserve">AZE</t>
  </si>
  <si>
    <t xml:space="preserve">Burundi</t>
  </si>
  <si>
    <t xml:space="preserve">BDI</t>
  </si>
  <si>
    <t xml:space="preserve">Belgium</t>
  </si>
  <si>
    <t xml:space="preserve">BEL</t>
  </si>
  <si>
    <t xml:space="preserve">Benin</t>
  </si>
  <si>
    <t xml:space="preserve">BEN</t>
  </si>
  <si>
    <t xml:space="preserve">Burkina Faso</t>
  </si>
  <si>
    <t xml:space="preserve">BFA</t>
  </si>
  <si>
    <t xml:space="preserve">Bangladesh</t>
  </si>
  <si>
    <t xml:space="preserve">BGD</t>
  </si>
  <si>
    <t xml:space="preserve">Bulgaria</t>
  </si>
  <si>
    <t xml:space="preserve">BGR</t>
  </si>
  <si>
    <t xml:space="preserve">Bahrain</t>
  </si>
  <si>
    <t xml:space="preserve">BHR</t>
  </si>
  <si>
    <t xml:space="preserve">Bahamas, The</t>
  </si>
  <si>
    <t xml:space="preserve">BHS</t>
  </si>
  <si>
    <t xml:space="preserve">Bosnia and Herzegovina</t>
  </si>
  <si>
    <t xml:space="preserve">BIH</t>
  </si>
  <si>
    <t xml:space="preserve">Belarus</t>
  </si>
  <si>
    <t xml:space="preserve">BLR</t>
  </si>
  <si>
    <t xml:space="preserve">Belize</t>
  </si>
  <si>
    <t xml:space="preserve">BLZ</t>
  </si>
  <si>
    <t xml:space="preserve">Bermuda</t>
  </si>
  <si>
    <t xml:space="preserve">BMU</t>
  </si>
  <si>
    <t xml:space="preserve">Bolivia</t>
  </si>
  <si>
    <t xml:space="preserve">BOL</t>
  </si>
  <si>
    <t xml:space="preserve">Brazil</t>
  </si>
  <si>
    <t xml:space="preserve">BRA</t>
  </si>
  <si>
    <t xml:space="preserve">Barbados</t>
  </si>
  <si>
    <t xml:space="preserve">BRB</t>
  </si>
  <si>
    <t xml:space="preserve">Brunei Darussalam</t>
  </si>
  <si>
    <t xml:space="preserve">BRN</t>
  </si>
  <si>
    <t xml:space="preserve">Bhutan</t>
  </si>
  <si>
    <t xml:space="preserve">BTN</t>
  </si>
  <si>
    <t xml:space="preserve">Botswana</t>
  </si>
  <si>
    <t xml:space="preserve">BWA</t>
  </si>
  <si>
    <t xml:space="preserve">Central African Republic</t>
  </si>
  <si>
    <t xml:space="preserve">CAF</t>
  </si>
  <si>
    <t xml:space="preserve">Canada</t>
  </si>
  <si>
    <t xml:space="preserve">CAN</t>
  </si>
  <si>
    <t xml:space="preserve">Switzerland</t>
  </si>
  <si>
    <t xml:space="preserve">CHE</t>
  </si>
  <si>
    <t xml:space="preserve">Chile</t>
  </si>
  <si>
    <t xml:space="preserve">CHL</t>
  </si>
  <si>
    <t xml:space="preserve">China</t>
  </si>
  <si>
    <t xml:space="preserve">CHN</t>
  </si>
  <si>
    <t xml:space="preserve">Cote d'Ivoire</t>
  </si>
  <si>
    <t xml:space="preserve">CIV</t>
  </si>
  <si>
    <t xml:space="preserve">Cameroon</t>
  </si>
  <si>
    <t xml:space="preserve">CMR</t>
  </si>
  <si>
    <t xml:space="preserve">Congo, Dem. Rep.</t>
  </si>
  <si>
    <t xml:space="preserve">COD</t>
  </si>
  <si>
    <t xml:space="preserve">Congo, Rep.</t>
  </si>
  <si>
    <t xml:space="preserve">COG</t>
  </si>
  <si>
    <t xml:space="preserve">Colombia</t>
  </si>
  <si>
    <t xml:space="preserve">COL</t>
  </si>
  <si>
    <t xml:space="preserve">Comoros</t>
  </si>
  <si>
    <t xml:space="preserve">COM</t>
  </si>
  <si>
    <t xml:space="preserve">Cabo Verde</t>
  </si>
  <si>
    <t xml:space="preserve">CPV</t>
  </si>
  <si>
    <t xml:space="preserve">Costa Rica</t>
  </si>
  <si>
    <t xml:space="preserve">CRI</t>
  </si>
  <si>
    <t xml:space="preserve">Cuba</t>
  </si>
  <si>
    <t xml:space="preserve">CUB</t>
  </si>
  <si>
    <t xml:space="preserve">Curacao</t>
  </si>
  <si>
    <t xml:space="preserve">CUW</t>
  </si>
  <si>
    <t xml:space="preserve">Cayman Islands</t>
  </si>
  <si>
    <t xml:space="preserve">CYM</t>
  </si>
  <si>
    <t xml:space="preserve">Cyprus</t>
  </si>
  <si>
    <t xml:space="preserve">CYP</t>
  </si>
  <si>
    <t xml:space="preserve">Czech Republic</t>
  </si>
  <si>
    <t xml:space="preserve">CZE</t>
  </si>
  <si>
    <t xml:space="preserve">Germany</t>
  </si>
  <si>
    <t xml:space="preserve">DEU</t>
  </si>
  <si>
    <t xml:space="preserve">Djibouti</t>
  </si>
  <si>
    <t xml:space="preserve">DJI</t>
  </si>
  <si>
    <t xml:space="preserve">Dominica</t>
  </si>
  <si>
    <t xml:space="preserve">DMA</t>
  </si>
  <si>
    <t xml:space="preserve">Denmark</t>
  </si>
  <si>
    <t xml:space="preserve">DNK</t>
  </si>
  <si>
    <t xml:space="preserve">Dominican Republic</t>
  </si>
  <si>
    <t xml:space="preserve">DOM</t>
  </si>
  <si>
    <t xml:space="preserve">Algeria</t>
  </si>
  <si>
    <t xml:space="preserve">DZA</t>
  </si>
  <si>
    <t xml:space="preserve">Ecuador</t>
  </si>
  <si>
    <t xml:space="preserve">ECU</t>
  </si>
  <si>
    <t xml:space="preserve">Egypt, Arab Rep.</t>
  </si>
  <si>
    <t xml:space="preserve">EGY</t>
  </si>
  <si>
    <t xml:space="preserve">Eritrea</t>
  </si>
  <si>
    <t xml:space="preserve">ERI</t>
  </si>
  <si>
    <t xml:space="preserve">Spain</t>
  </si>
  <si>
    <t xml:space="preserve">ESP</t>
  </si>
  <si>
    <t xml:space="preserve">Estonia</t>
  </si>
  <si>
    <t xml:space="preserve">EST</t>
  </si>
  <si>
    <t xml:space="preserve">Ethiopia</t>
  </si>
  <si>
    <t xml:space="preserve">ETH</t>
  </si>
  <si>
    <t xml:space="preserve">Finland</t>
  </si>
  <si>
    <t xml:space="preserve">FIN</t>
  </si>
  <si>
    <t xml:space="preserve">Fiji</t>
  </si>
  <si>
    <t xml:space="preserve">FJI</t>
  </si>
  <si>
    <t xml:space="preserve">France</t>
  </si>
  <si>
    <t xml:space="preserve">FRA</t>
  </si>
  <si>
    <t xml:space="preserve">Faroe Islands</t>
  </si>
  <si>
    <t xml:space="preserve">FRO</t>
  </si>
  <si>
    <t xml:space="preserve">Micronesia, Fed. Sts.</t>
  </si>
  <si>
    <t xml:space="preserve">FSM</t>
  </si>
  <si>
    <t xml:space="preserve">Gabon</t>
  </si>
  <si>
    <t xml:space="preserve">GAB</t>
  </si>
  <si>
    <t xml:space="preserve">United Kingdom</t>
  </si>
  <si>
    <t xml:space="preserve">GBR</t>
  </si>
  <si>
    <t xml:space="preserve">Georgia</t>
  </si>
  <si>
    <t xml:space="preserve">GEO</t>
  </si>
  <si>
    <t xml:space="preserve">Ghana</t>
  </si>
  <si>
    <t xml:space="preserve">GHA</t>
  </si>
  <si>
    <t xml:space="preserve">Gibraltar</t>
  </si>
  <si>
    <t xml:space="preserve">GIB</t>
  </si>
  <si>
    <t xml:space="preserve">Guinea</t>
  </si>
  <si>
    <t xml:space="preserve">GIN</t>
  </si>
  <si>
    <t xml:space="preserve">Gambia, The</t>
  </si>
  <si>
    <t xml:space="preserve">GMB</t>
  </si>
  <si>
    <t xml:space="preserve">Guinea-Bissau</t>
  </si>
  <si>
    <t xml:space="preserve">GNB</t>
  </si>
  <si>
    <t xml:space="preserve">Equatorial Guinea</t>
  </si>
  <si>
    <t xml:space="preserve">GNQ</t>
  </si>
  <si>
    <t xml:space="preserve">Greece</t>
  </si>
  <si>
    <t xml:space="preserve">GRC</t>
  </si>
  <si>
    <t xml:space="preserve">Grenada</t>
  </si>
  <si>
    <t xml:space="preserve">GRD</t>
  </si>
  <si>
    <t xml:space="preserve">Greenland</t>
  </si>
  <si>
    <t xml:space="preserve">GRL</t>
  </si>
  <si>
    <t xml:space="preserve">Guatemala</t>
  </si>
  <si>
    <t xml:space="preserve">GTM</t>
  </si>
  <si>
    <t xml:space="preserve">Guam</t>
  </si>
  <si>
    <t xml:space="preserve">GUM</t>
  </si>
  <si>
    <t xml:space="preserve">Guyana</t>
  </si>
  <si>
    <t xml:space="preserve">GUY</t>
  </si>
  <si>
    <t xml:space="preserve">Hong Kong SAR, China</t>
  </si>
  <si>
    <t xml:space="preserve">HKG</t>
  </si>
  <si>
    <t xml:space="preserve">Honduras</t>
  </si>
  <si>
    <t xml:space="preserve">HND</t>
  </si>
  <si>
    <t xml:space="preserve">Croatia</t>
  </si>
  <si>
    <t xml:space="preserve">HRV</t>
  </si>
  <si>
    <t xml:space="preserve">Haiti</t>
  </si>
  <si>
    <t xml:space="preserve">HTI</t>
  </si>
  <si>
    <t xml:space="preserve">Hungary</t>
  </si>
  <si>
    <t xml:space="preserve">HUN</t>
  </si>
  <si>
    <t xml:space="preserve">Indonesia</t>
  </si>
  <si>
    <t xml:space="preserve">IDN</t>
  </si>
  <si>
    <t xml:space="preserve">Isle of Man</t>
  </si>
  <si>
    <t xml:space="preserve">IMN</t>
  </si>
  <si>
    <t xml:space="preserve">India</t>
  </si>
  <si>
    <t xml:space="preserve">IND</t>
  </si>
  <si>
    <t xml:space="preserve">Ireland</t>
  </si>
  <si>
    <t xml:space="preserve">IRL</t>
  </si>
  <si>
    <t xml:space="preserve">Iran, Islamic Rep.</t>
  </si>
  <si>
    <t xml:space="preserve">IRN</t>
  </si>
  <si>
    <t xml:space="preserve">Iraq</t>
  </si>
  <si>
    <t xml:space="preserve">IRQ</t>
  </si>
  <si>
    <t xml:space="preserve">Iceland</t>
  </si>
  <si>
    <t xml:space="preserve">ISL</t>
  </si>
  <si>
    <t xml:space="preserve">Israel</t>
  </si>
  <si>
    <t xml:space="preserve">ISR</t>
  </si>
  <si>
    <t xml:space="preserve">Italy</t>
  </si>
  <si>
    <t xml:space="preserve">ITA</t>
  </si>
  <si>
    <t xml:space="preserve">Jamaica</t>
  </si>
  <si>
    <t xml:space="preserve">JAM</t>
  </si>
  <si>
    <t xml:space="preserve">Jordan</t>
  </si>
  <si>
    <t xml:space="preserve">JOR</t>
  </si>
  <si>
    <t xml:space="preserve">Japan</t>
  </si>
  <si>
    <t xml:space="preserve">JPN</t>
  </si>
  <si>
    <t xml:space="preserve">Kazakhstan</t>
  </si>
  <si>
    <t xml:space="preserve">KAZ</t>
  </si>
  <si>
    <t xml:space="preserve">Kenya</t>
  </si>
  <si>
    <t xml:space="preserve">KEN</t>
  </si>
  <si>
    <t xml:space="preserve">Kyrgyz Republic</t>
  </si>
  <si>
    <t xml:space="preserve">KGZ</t>
  </si>
  <si>
    <t xml:space="preserve">Cambodia</t>
  </si>
  <si>
    <t xml:space="preserve">KHM</t>
  </si>
  <si>
    <t xml:space="preserve">Kiribati</t>
  </si>
  <si>
    <t xml:space="preserve">KIR</t>
  </si>
  <si>
    <t xml:space="preserve">St. Kitts and Nevis</t>
  </si>
  <si>
    <t xml:space="preserve">KNA</t>
  </si>
  <si>
    <t xml:space="preserve">Korea, Rep.</t>
  </si>
  <si>
    <t xml:space="preserve">KOR</t>
  </si>
  <si>
    <t xml:space="preserve">Kuwait</t>
  </si>
  <si>
    <t xml:space="preserve">KWT</t>
  </si>
  <si>
    <t xml:space="preserve">Lao PDR</t>
  </si>
  <si>
    <t xml:space="preserve">LAO</t>
  </si>
  <si>
    <t xml:space="preserve">Lebanon</t>
  </si>
  <si>
    <t xml:space="preserve">LBN</t>
  </si>
  <si>
    <t xml:space="preserve">Liberia</t>
  </si>
  <si>
    <t xml:space="preserve">LBR</t>
  </si>
  <si>
    <t xml:space="preserve">Libya</t>
  </si>
  <si>
    <t xml:space="preserve">LBY</t>
  </si>
  <si>
    <t xml:space="preserve">St. Lucia</t>
  </si>
  <si>
    <t xml:space="preserve">LCA</t>
  </si>
  <si>
    <t xml:space="preserve">Liechtenstein</t>
  </si>
  <si>
    <t xml:space="preserve">LIE</t>
  </si>
  <si>
    <t xml:space="preserve">Sri Lanka</t>
  </si>
  <si>
    <t xml:space="preserve">LKA</t>
  </si>
  <si>
    <t xml:space="preserve">Lesotho</t>
  </si>
  <si>
    <t xml:space="preserve">LSO</t>
  </si>
  <si>
    <t xml:space="preserve">Lithuania</t>
  </si>
  <si>
    <t xml:space="preserve">LTU</t>
  </si>
  <si>
    <t xml:space="preserve">Luxembourg</t>
  </si>
  <si>
    <t xml:space="preserve">LUX</t>
  </si>
  <si>
    <t xml:space="preserve">Latvia</t>
  </si>
  <si>
    <t xml:space="preserve">LVA</t>
  </si>
  <si>
    <t xml:space="preserve">Macao SAR, China</t>
  </si>
  <si>
    <t xml:space="preserve">MAC</t>
  </si>
  <si>
    <t xml:space="preserve">St. Martin (French part)</t>
  </si>
  <si>
    <t xml:space="preserve">MAF</t>
  </si>
  <si>
    <t xml:space="preserve">Morocco</t>
  </si>
  <si>
    <t xml:space="preserve">MAR</t>
  </si>
  <si>
    <t xml:space="preserve">Monaco</t>
  </si>
  <si>
    <t xml:space="preserve">MCO</t>
  </si>
  <si>
    <t xml:space="preserve">Moldova</t>
  </si>
  <si>
    <t xml:space="preserve">MDA</t>
  </si>
  <si>
    <t xml:space="preserve">Madagascar</t>
  </si>
  <si>
    <t xml:space="preserve">MDG</t>
  </si>
  <si>
    <t xml:space="preserve">Maldives</t>
  </si>
  <si>
    <t xml:space="preserve">MDV</t>
  </si>
  <si>
    <t xml:space="preserve">Mexico</t>
  </si>
  <si>
    <t xml:space="preserve">MEX</t>
  </si>
  <si>
    <t xml:space="preserve">Marshall Islands</t>
  </si>
  <si>
    <t xml:space="preserve">MHL</t>
  </si>
  <si>
    <t xml:space="preserve">Macedonia, FYR</t>
  </si>
  <si>
    <t xml:space="preserve">MKD</t>
  </si>
  <si>
    <t xml:space="preserve">Mali</t>
  </si>
  <si>
    <t xml:space="preserve">MLI</t>
  </si>
  <si>
    <t xml:space="preserve">Malta</t>
  </si>
  <si>
    <t xml:space="preserve">MLT</t>
  </si>
  <si>
    <t xml:space="preserve">Myanmar</t>
  </si>
  <si>
    <t xml:space="preserve">MMR</t>
  </si>
  <si>
    <t xml:space="preserve">Montenegro</t>
  </si>
  <si>
    <t xml:space="preserve">MNE</t>
  </si>
  <si>
    <t xml:space="preserve">Mongolia</t>
  </si>
  <si>
    <t xml:space="preserve">MNG</t>
  </si>
  <si>
    <t xml:space="preserve">Northern Mariana Islands</t>
  </si>
  <si>
    <t xml:space="preserve">MNP</t>
  </si>
  <si>
    <t xml:space="preserve">Mozambique</t>
  </si>
  <si>
    <t xml:space="preserve">MOZ</t>
  </si>
  <si>
    <t xml:space="preserve">Mauritania</t>
  </si>
  <si>
    <t xml:space="preserve">MRT</t>
  </si>
  <si>
    <t xml:space="preserve">Mauritius</t>
  </si>
  <si>
    <t xml:space="preserve">MUS</t>
  </si>
  <si>
    <t xml:space="preserve">Malawi</t>
  </si>
  <si>
    <t xml:space="preserve">MWI</t>
  </si>
  <si>
    <t xml:space="preserve">Malaysia</t>
  </si>
  <si>
    <t xml:space="preserve">MYS</t>
  </si>
  <si>
    <t xml:space="preserve">Namibia</t>
  </si>
  <si>
    <t xml:space="preserve">NAM</t>
  </si>
  <si>
    <t xml:space="preserve">New Caledonia</t>
  </si>
  <si>
    <t xml:space="preserve">NCL</t>
  </si>
  <si>
    <t xml:space="preserve">Niger</t>
  </si>
  <si>
    <t xml:space="preserve">NER</t>
  </si>
  <si>
    <t xml:space="preserve">Nigeria</t>
  </si>
  <si>
    <t xml:space="preserve">NGA</t>
  </si>
  <si>
    <t xml:space="preserve">Nicaragua</t>
  </si>
  <si>
    <t xml:space="preserve">NIC</t>
  </si>
  <si>
    <t xml:space="preserve">Netherlands</t>
  </si>
  <si>
    <t xml:space="preserve">NLD</t>
  </si>
  <si>
    <t xml:space="preserve">Norway</t>
  </si>
  <si>
    <t xml:space="preserve">NOR</t>
  </si>
  <si>
    <t xml:space="preserve">Nepal</t>
  </si>
  <si>
    <t xml:space="preserve">NPL</t>
  </si>
  <si>
    <t xml:space="preserve">Nauru</t>
  </si>
  <si>
    <t xml:space="preserve">NRU</t>
  </si>
  <si>
    <t xml:space="preserve">New Zealand</t>
  </si>
  <si>
    <t xml:space="preserve">NZL</t>
  </si>
  <si>
    <t xml:space="preserve">Oman</t>
  </si>
  <si>
    <t xml:space="preserve">OMN</t>
  </si>
  <si>
    <t xml:space="preserve">Pakistan</t>
  </si>
  <si>
    <t xml:space="preserve">PAK</t>
  </si>
  <si>
    <t xml:space="preserve">Panama</t>
  </si>
  <si>
    <t xml:space="preserve">PAN</t>
  </si>
  <si>
    <t xml:space="preserve">Peru</t>
  </si>
  <si>
    <t xml:space="preserve">PER</t>
  </si>
  <si>
    <t xml:space="preserve">Philippines</t>
  </si>
  <si>
    <t xml:space="preserve">PHL</t>
  </si>
  <si>
    <t xml:space="preserve">Palau</t>
  </si>
  <si>
    <t xml:space="preserve">PLW</t>
  </si>
  <si>
    <t xml:space="preserve">Papua New Guinea</t>
  </si>
  <si>
    <t xml:space="preserve">PNG</t>
  </si>
  <si>
    <t xml:space="preserve">Poland</t>
  </si>
  <si>
    <t xml:space="preserve">POL</t>
  </si>
  <si>
    <t xml:space="preserve">Puerto Rico</t>
  </si>
  <si>
    <t xml:space="preserve">PRI</t>
  </si>
  <si>
    <t xml:space="preserve">Korea, Dem. People’s Rep.</t>
  </si>
  <si>
    <t xml:space="preserve">PRK</t>
  </si>
  <si>
    <t xml:space="preserve">Portugal</t>
  </si>
  <si>
    <t xml:space="preserve">PRT</t>
  </si>
  <si>
    <t xml:space="preserve">Paraguay</t>
  </si>
  <si>
    <t xml:space="preserve">PRY</t>
  </si>
  <si>
    <t xml:space="preserve">West Bank and Gaza</t>
  </si>
  <si>
    <t xml:space="preserve">PSE</t>
  </si>
  <si>
    <t xml:space="preserve">French Polynesia</t>
  </si>
  <si>
    <t xml:space="preserve">PYF</t>
  </si>
  <si>
    <t xml:space="preserve">Qatar</t>
  </si>
  <si>
    <t xml:space="preserve">QAT</t>
  </si>
  <si>
    <t xml:space="preserve">Romania</t>
  </si>
  <si>
    <t xml:space="preserve">ROU</t>
  </si>
  <si>
    <t xml:space="preserve">Russian Federation</t>
  </si>
  <si>
    <t xml:space="preserve">RUS</t>
  </si>
  <si>
    <t xml:space="preserve">Rwanda</t>
  </si>
  <si>
    <t xml:space="preserve">RWA</t>
  </si>
  <si>
    <t xml:space="preserve">Saudi Arabia</t>
  </si>
  <si>
    <t xml:space="preserve">SAU</t>
  </si>
  <si>
    <t xml:space="preserve">Sudan</t>
  </si>
  <si>
    <t xml:space="preserve">SDN</t>
  </si>
  <si>
    <t xml:space="preserve">Senegal</t>
  </si>
  <si>
    <t xml:space="preserve">SEN</t>
  </si>
  <si>
    <t xml:space="preserve">Singapore</t>
  </si>
  <si>
    <t xml:space="preserve">SGP</t>
  </si>
  <si>
    <t xml:space="preserve">Solomon Islands</t>
  </si>
  <si>
    <t xml:space="preserve">SLB</t>
  </si>
  <si>
    <t xml:space="preserve">Sierra Leone</t>
  </si>
  <si>
    <t xml:space="preserve">SLE</t>
  </si>
  <si>
    <t xml:space="preserve">El Salvador</t>
  </si>
  <si>
    <t xml:space="preserve">SLV</t>
  </si>
  <si>
    <t xml:space="preserve">San Marino</t>
  </si>
  <si>
    <t xml:space="preserve">SMR</t>
  </si>
  <si>
    <t xml:space="preserve">Somalia</t>
  </si>
  <si>
    <t xml:space="preserve">SOM</t>
  </si>
  <si>
    <t xml:space="preserve">Serbia</t>
  </si>
  <si>
    <t xml:space="preserve">SRB</t>
  </si>
  <si>
    <t xml:space="preserve">South Sudan</t>
  </si>
  <si>
    <t xml:space="preserve">SSD</t>
  </si>
  <si>
    <t xml:space="preserve">Sao Tome and Principe</t>
  </si>
  <si>
    <t xml:space="preserve">STP</t>
  </si>
  <si>
    <t xml:space="preserve">Suriname</t>
  </si>
  <si>
    <t xml:space="preserve">SUR</t>
  </si>
  <si>
    <t xml:space="preserve">Slovak Republic</t>
  </si>
  <si>
    <t xml:space="preserve">SVK</t>
  </si>
  <si>
    <t xml:space="preserve">Slovenia</t>
  </si>
  <si>
    <t xml:space="preserve">SVN</t>
  </si>
  <si>
    <t xml:space="preserve">Sweden</t>
  </si>
  <si>
    <t xml:space="preserve">SWE</t>
  </si>
  <si>
    <t xml:space="preserve">Swaziland</t>
  </si>
  <si>
    <t xml:space="preserve">SWZ</t>
  </si>
  <si>
    <t xml:space="preserve">Sint Maarten (Dutch part)</t>
  </si>
  <si>
    <t xml:space="preserve">SXM</t>
  </si>
  <si>
    <t xml:space="preserve">Seychelles</t>
  </si>
  <si>
    <t xml:space="preserve">SYC</t>
  </si>
  <si>
    <t xml:space="preserve">Syrian Arab Republic</t>
  </si>
  <si>
    <t xml:space="preserve">SYR</t>
  </si>
  <si>
    <t xml:space="preserve">Turks and Caicos Islands</t>
  </si>
  <si>
    <t xml:space="preserve">TCA</t>
  </si>
  <si>
    <t xml:space="preserve">Chad</t>
  </si>
  <si>
    <t xml:space="preserve">TCD</t>
  </si>
  <si>
    <t xml:space="preserve">Togo</t>
  </si>
  <si>
    <t xml:space="preserve">TGO</t>
  </si>
  <si>
    <t xml:space="preserve">Thailand</t>
  </si>
  <si>
    <t xml:space="preserve">THA</t>
  </si>
  <si>
    <t xml:space="preserve">Tajikistan</t>
  </si>
  <si>
    <t xml:space="preserve">TJK</t>
  </si>
  <si>
    <t xml:space="preserve">Turkmenistan</t>
  </si>
  <si>
    <t xml:space="preserve">TKM</t>
  </si>
  <si>
    <t xml:space="preserve">Timor-Leste</t>
  </si>
  <si>
    <t xml:space="preserve">TLS</t>
  </si>
  <si>
    <t xml:space="preserve">Tonga</t>
  </si>
  <si>
    <t xml:space="preserve">TON</t>
  </si>
  <si>
    <t xml:space="preserve">Trinidad and Tobago</t>
  </si>
  <si>
    <t xml:space="preserve">TTO</t>
  </si>
  <si>
    <t xml:space="preserve">Tunisia</t>
  </si>
  <si>
    <t xml:space="preserve">TUN</t>
  </si>
  <si>
    <t xml:space="preserve">Turkey</t>
  </si>
  <si>
    <t xml:space="preserve">TUR</t>
  </si>
  <si>
    <t xml:space="preserve">Tuvalu</t>
  </si>
  <si>
    <t xml:space="preserve">TUV</t>
  </si>
  <si>
    <t xml:space="preserve">Tanzania</t>
  </si>
  <si>
    <t xml:space="preserve">TZA</t>
  </si>
  <si>
    <t xml:space="preserve">Uganda</t>
  </si>
  <si>
    <t xml:space="preserve">UGA</t>
  </si>
  <si>
    <t xml:space="preserve">Ukraine</t>
  </si>
  <si>
    <t xml:space="preserve">UKR</t>
  </si>
  <si>
    <t xml:space="preserve">Uruguay</t>
  </si>
  <si>
    <t xml:space="preserve">URY</t>
  </si>
  <si>
    <t xml:space="preserve">United States</t>
  </si>
  <si>
    <t xml:space="preserve">USA</t>
  </si>
  <si>
    <t xml:space="preserve">Uzbekistan</t>
  </si>
  <si>
    <t xml:space="preserve">UZB</t>
  </si>
  <si>
    <t xml:space="preserve">St. Vincent and the Grenadines</t>
  </si>
  <si>
    <t xml:space="preserve">VCT</t>
  </si>
  <si>
    <t xml:space="preserve">Venezuela, RB</t>
  </si>
  <si>
    <t xml:space="preserve">VEN</t>
  </si>
  <si>
    <t xml:space="preserve">British Virgin Islands</t>
  </si>
  <si>
    <t xml:space="preserve">VGB</t>
  </si>
  <si>
    <t xml:space="preserve">Virgin Islands (U.S.)</t>
  </si>
  <si>
    <t xml:space="preserve">VIR</t>
  </si>
  <si>
    <t xml:space="preserve">Vietnam</t>
  </si>
  <si>
    <t xml:space="preserve">VNM</t>
  </si>
  <si>
    <t xml:space="preserve">Vanuatu</t>
  </si>
  <si>
    <t xml:space="preserve">VUT</t>
  </si>
  <si>
    <t xml:space="preserve">Samoa</t>
  </si>
  <si>
    <t xml:space="preserve">WSM</t>
  </si>
  <si>
    <t xml:space="preserve">Kosovo</t>
  </si>
  <si>
    <t xml:space="preserve">XKX</t>
  </si>
  <si>
    <t xml:space="preserve">Yemen, Rep.</t>
  </si>
  <si>
    <t xml:space="preserve">YEM</t>
  </si>
  <si>
    <t xml:space="preserve">South Africa</t>
  </si>
  <si>
    <t xml:space="preserve">ZAF</t>
  </si>
  <si>
    <t xml:space="preserve">Zambia</t>
  </si>
  <si>
    <t xml:space="preserve">ZMB</t>
  </si>
  <si>
    <t xml:space="preserve">Zimbabwe</t>
  </si>
  <si>
    <t xml:space="preserve">ZWE</t>
  </si>
  <si>
    <t xml:space="preserve">Average Africa</t>
  </si>
  <si>
    <t xml:space="preserve">Average Americas</t>
  </si>
  <si>
    <t xml:space="preserve">Average Asia</t>
  </si>
  <si>
    <t xml:space="preserve">Average Europe</t>
  </si>
  <si>
    <t xml:space="preserve">Average Oceania</t>
  </si>
  <si>
    <t xml:space="preserve">World</t>
  </si>
  <si>
    <t xml:space="preserve">Exchange Rate $ 2017</t>
  </si>
  <si>
    <t xml:space="preserve">Exchange Rate country 2017 (oanda)</t>
  </si>
  <si>
    <t xml:space="preserve">ppp gdp conversion factor 2017</t>
  </si>
  <si>
    <t xml:space="preserve">conversion factor</t>
  </si>
  <si>
    <t xml:space="preserve">Regional Estimate calculationen</t>
  </si>
  <si>
    <t xml:space="preserve">Arab World</t>
  </si>
  <si>
    <t xml:space="preserve">Central Europe and the Baltics</t>
  </si>
  <si>
    <t xml:space="preserve">Channel Islands</t>
  </si>
  <si>
    <t xml:space="preserve">Caribbean small states</t>
  </si>
  <si>
    <t xml:space="preserve">East Asia &amp; Pacific (excluding high income)</t>
  </si>
  <si>
    <t xml:space="preserve">Early-demographic dividend</t>
  </si>
  <si>
    <t xml:space="preserve">East Asia &amp; Pacific</t>
  </si>
  <si>
    <t xml:space="preserve">Europe &amp; Central Asia (excluding high income)</t>
  </si>
  <si>
    <t xml:space="preserve">Europe &amp; Central Asia</t>
  </si>
  <si>
    <t xml:space="preserve">Euro area</t>
  </si>
  <si>
    <t xml:space="preserve">European Union</t>
  </si>
  <si>
    <t xml:space="preserve">Fragile and conflict affected situations</t>
  </si>
  <si>
    <t xml:space="preserve">High income</t>
  </si>
  <si>
    <t xml:space="preserve">Heavily indebted poor countries (HIPC)</t>
  </si>
  <si>
    <t xml:space="preserve">IBRD only</t>
  </si>
  <si>
    <t xml:space="preserve">IDA &amp; IBRD total</t>
  </si>
  <si>
    <t xml:space="preserve">IDA total</t>
  </si>
  <si>
    <t xml:space="preserve">IDA blend</t>
  </si>
  <si>
    <t xml:space="preserve">IDA only</t>
  </si>
  <si>
    <t xml:space="preserve">Not classified</t>
  </si>
  <si>
    <t xml:space="preserve">Latin America &amp; Caribbean (excluding high income)</t>
  </si>
  <si>
    <t xml:space="preserve">Latin America &amp; Caribbean</t>
  </si>
  <si>
    <t xml:space="preserve">Least developed countries: UN classification</t>
  </si>
  <si>
    <t xml:space="preserve">Low income</t>
  </si>
  <si>
    <t xml:space="preserve">Lower middle income</t>
  </si>
  <si>
    <t xml:space="preserve">Low &amp; middle income</t>
  </si>
  <si>
    <t xml:space="preserve">Late-demographic dividend</t>
  </si>
  <si>
    <t xml:space="preserve">Middle East &amp; North Africa</t>
  </si>
  <si>
    <t xml:space="preserve">Middle income</t>
  </si>
  <si>
    <t xml:space="preserve">Middle East &amp; North Africa (excluding high income)</t>
  </si>
  <si>
    <t xml:space="preserve">North America</t>
  </si>
  <si>
    <t xml:space="preserve">OECD members</t>
  </si>
  <si>
    <t xml:space="preserve">Other small states</t>
  </si>
  <si>
    <t xml:space="preserve">Pre-demographic dividend</t>
  </si>
  <si>
    <t xml:space="preserve">Pacific island small states</t>
  </si>
  <si>
    <t xml:space="preserve">Post-demographic dividend</t>
  </si>
  <si>
    <t xml:space="preserve">South Asia</t>
  </si>
  <si>
    <t xml:space="preserve">Sub-Saharan Africa (excluding high income)</t>
  </si>
  <si>
    <t xml:space="preserve">Sub-Saharan Africa</t>
  </si>
  <si>
    <t xml:space="preserve">Small states</t>
  </si>
  <si>
    <t xml:space="preserve">East Asia &amp; Pacific (IDA &amp; IBRD countries)</t>
  </si>
  <si>
    <t xml:space="preserve">Europe &amp; Central Asia (IDA &amp; IBRD countries)</t>
  </si>
  <si>
    <t xml:space="preserve">Latin America &amp; the Caribbean (IDA &amp; IBRD countries)</t>
  </si>
  <si>
    <t xml:space="preserve">Middle East &amp; North Africa (IDA &amp; IBRD countries)</t>
  </si>
  <si>
    <t xml:space="preserve">South Asia (IDA &amp; IBRD)</t>
  </si>
  <si>
    <t xml:space="preserve">Sub-Saharan Africa (IDA &amp; IBRD countries)</t>
  </si>
  <si>
    <t xml:space="preserve">Upper middle income</t>
  </si>
  <si>
    <t xml:space="preserve">Deutsch</t>
  </si>
  <si>
    <t xml:space="preserve">Italiano</t>
  </si>
  <si>
    <t xml:space="preserve">English</t>
  </si>
  <si>
    <t xml:space="preserve">Español</t>
  </si>
  <si>
    <t xml:space="preserve">Francais</t>
  </si>
  <si>
    <t xml:space="preserve">Portugues</t>
  </si>
  <si>
    <t xml:space="preserve">Griechisch</t>
  </si>
  <si>
    <t xml:space="preserve">GEMEINWOHL-RECHNER</t>
  </si>
  <si>
    <t xml:space="preserve">Calcolatore del Bene Comune</t>
  </si>
  <si>
    <t xml:space="preserve">BALANCE SHEET CALCULATOR</t>
  </si>
  <si>
    <t xml:space="preserve">CALCULADORA DEL BIEN COMÚN</t>
  </si>
  <si>
    <t xml:space="preserve">© GWÖ</t>
  </si>
  <si>
    <t xml:space="preserve">© Economia del Bene Comune</t>
  </si>
  <si>
    <t xml:space="preserve">© ECG</t>
  </si>
  <si>
    <t xml:space="preserve">© Economía del Bien Común</t>
  </si>
  <si>
    <t xml:space="preserve">Version</t>
  </si>
  <si>
    <t xml:space="preserve">Versione</t>
  </si>
  <si>
    <t xml:space="preserve">Versión</t>
  </si>
  <si>
    <t xml:space="preserve">Versão</t>
  </si>
  <si>
    <t xml:space="preserve">HERZLICH WILLKOMMEN!</t>
  </si>
  <si>
    <t xml:space="preserve">Benvenuto!</t>
  </si>
  <si>
    <t xml:space="preserve">WELCOME!</t>
  </si>
  <si>
    <t xml:space="preserve">¡Bienvenid@!</t>
  </si>
  <si>
    <t xml:space="preserve">Dieses Tool dient zur Berechnung der Gemeinwohl-Punkte Ihres Unternehmens. Es ist eine Ergänzung zum Gemeinwohlbericht und muss gemeinsam mit diesem genutzt werden.  Wir wünschen gutes Gelingen!</t>
  </si>
  <si>
    <t xml:space="preserve">Può utilizzare questo strumento per calcolare i punti del bene comune della sua impresa. Serve quale completamento alla relazione del bene comune e deve essere utilizzato assieme a questo.
Le auguriamo buon divertimento in questa attività di calcolo!</t>
  </si>
  <si>
    <t xml:space="preserve">This tool is for calculating the overall Common Good Points for your company or organisation. It complements the Common Good Report and has to be used together with it. Have fun with your calculation!</t>
  </si>
  <si>
    <t xml:space="preserve">Esta herramienta sirve para calcular la puntuación de su empresa de acuerdo al balance del Bien Común. Esta hoja de cálculo es complementaria al informe del Bien Común y debe utilizarse por tanto conjuntamente. ¡Buena suerte!</t>
  </si>
  <si>
    <t xml:space="preserve">WIE SIE DEN BILANZ-RECHNER RICHTIG VERWENDEN:</t>
  </si>
  <si>
    <t xml:space="preserve">Come utilizzare correttamente il calcolatore del bilancio:</t>
  </si>
  <si>
    <t xml:space="preserve">HOW TO USE THE BALANCE SHEET CALCULATOR:</t>
  </si>
  <si>
    <t xml:space="preserve">Cómo utilizar la calculadora del Bien Común correctamente</t>
  </si>
  <si>
    <t xml:space="preserve">1. Allgemeines</t>
  </si>
  <si>
    <t xml:space="preserve">1. Generale</t>
  </si>
  <si>
    <t xml:space="preserve">1. General</t>
  </si>
  <si>
    <t xml:space="preserve">Hier können Sie allgemeinen Angaben zu Ihrem Unternehmen machen.</t>
  </si>
  <si>
    <t xml:space="preserve">Qui può indicare tutte le informazioni e dati della sua impresa</t>
  </si>
  <si>
    <t xml:space="preserve">You can enter general information about your company or organisation in this section.</t>
  </si>
  <si>
    <t xml:space="preserve">En esta hoja puedes introducir información general sobre tu organización o empresa</t>
  </si>
  <si>
    <t xml:space="preserve">Hier müssen alle geforderten Kenngrößen eingetragen werden, da diese für die Gewichtung der Themen essentiell sind. </t>
  </si>
  <si>
    <t xml:space="preserve">Qui devono essere inseriti tutti i parametri richiesti, poiché questi sono essenziali per la ponderazione degli argomenti.</t>
  </si>
  <si>
    <t xml:space="preserve">All fields in this section must be completed as they are essential for the weighting of each theme.</t>
  </si>
  <si>
    <t xml:space="preserve">En esta hoja debes introducir todos los datos requeridos, pues el cálculo de la ponderación depende de ellos</t>
  </si>
  <si>
    <t xml:space="preserve">Für jedes Thema (A1, B1, ...) kann eine bestimmte Anzahl an Gemeinwohl-Punkten erreicht werden. Um zu ermitteln, wie viele davon Ihr Unternehmen erhält, gehen Sie wie folgt vor:</t>
  </si>
  <si>
    <t xml:space="preserve">Per ogni tema (A1, B1, ...) può essere raggiunto un determinate valore di punteggio del bene comune. Per ricavare, che punteggio ottiene la Sua impresa proceda nel modo seguente:</t>
  </si>
  <si>
    <t xml:space="preserve">For each theme (A1, B1, ...) a certain maximum number of Common Good Points can be achieved. To evaluate how many points your company scores, follow these steps:</t>
  </si>
  <si>
    <t xml:space="preserve">Para cada tema (A1, B1, …) puede obtenerse una puntuación determinada. Para calcular cuál obtiene su empresa, siga los pasos siguientes:</t>
  </si>
  <si>
    <r>
      <rPr>
        <sz val="11"/>
        <color rgb="FF000000"/>
        <rFont val="Calibri"/>
        <family val="2"/>
        <charset val="1"/>
      </rPr>
      <t xml:space="preserve">Beschreiben Sie auf Basis des Arbeitsbuchs in wenigen Stichworten</t>
    </r>
    <r>
      <rPr>
        <b val="true"/>
        <sz val="11"/>
        <color rgb="FF000000"/>
        <rFont val="Calibri"/>
        <family val="2"/>
        <charset val="1"/>
      </rPr>
      <t xml:space="preserve"> Ist-Zustand und Verbesserungspotenzial</t>
    </r>
    <r>
      <rPr>
        <sz val="11"/>
        <color rgb="FF000000"/>
        <rFont val="Calibri"/>
        <family val="2"/>
        <charset val="1"/>
      </rPr>
      <t xml:space="preserve"> für die verschiedenen Aspekte (optional, ist für die Berechnung nicht unbedingt notwendig).</t>
    </r>
  </si>
  <si>
    <t xml:space="preserve">Descrivi sulla base del libro di esercizi in poche parole chiave lo stato attuale e il potenziale di miglioramento per i diversi aspetti (facoltativo, non è assolutamente necessario per il calcolo).</t>
  </si>
  <si>
    <t xml:space="preserve">Describe the current status and potential for improvement for the various aspects under key headings. Use the workbook as a reference. (This is optional and not absolutely necessary for the calculation.)</t>
  </si>
  <si>
    <t xml:space="preserve">Describa en pocas palabras, de acuerdo al manual del Balance del Bien Común, cuál es el estado actual y el potencial de mejora para cada uno de los aspectos (opcional, no es necesario para el cálculo de la puntuación).</t>
  </si>
  <si>
    <t xml:space="preserve">Geben Sie - aufbauend auf diesen Beschreibungen - an, entsprechend welchem Skalenwert (0-10) Ihrer Meinung nach der jeweilige Aspekt erfüllt ist (Spalte "Erfüllungsgrad"). Anhaltspunkte zur Wahl des "richtigen" Skalenwerts finden Sie wiederum im Arbeitsbuch.</t>
  </si>
  <si>
    <t xml:space="preserve">In base a queste descrizioni, indica in base a quale valore di scala (0-10) pensi che il rispettivo aspetto sia soddisfatto (colonna "grado di realizzazione"). Troverete indizi per scegliere il valore di scala "corretto" nella cartella di lavoro.</t>
  </si>
  <si>
    <t xml:space="preserve">Based on these descriptions, indicate on a scale of 0-10 how far you consider the respective aspect is met (Achievement level). The criteria for choosing the correct value can be found in the Workbook.</t>
  </si>
  <si>
    <t xml:space="preserve">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</si>
  <si>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</si>
  <si>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 xml:space="preserve">Per la valutazione degli aspetti negativi si indicano i valori dei punti in base alle descrizioni nel manuale.</t>
  </si>
  <si>
    <t xml:space="preserve">Negative aspects are allocated negative points according to the descriptions set out in the Workbook.</t>
  </si>
  <si>
    <t xml:space="preserve">Para aportar una puntuación a cada uno de los aspectos negativos utilice las indicaciones del manual.</t>
  </si>
  <si>
    <t xml:space="preserve">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</si>
  <si>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 xml:space="preserve">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</si>
  <si>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 xml:space="preserve">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</si>
  <si>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 xml:space="preserve">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</si>
  <si>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rgb="FF000000"/>
        <rFont val="Calibri"/>
        <family val="2"/>
        <charset val="1"/>
      </rPr>
      <t xml:space="preserve">Bei der Berechnung werden die Gesamtwerte pro Thema automatisch entsprechend der Angaben im Faktenblatt </t>
    </r>
    <r>
      <rPr>
        <b val="true"/>
        <sz val="11"/>
        <color rgb="FF000000"/>
        <rFont val="Calibri"/>
        <family val="2"/>
        <charset val="1"/>
      </rPr>
      <t xml:space="preserve">gewichtet</t>
    </r>
    <r>
      <rPr>
        <sz val="11"/>
        <color rgb="FF000000"/>
        <rFont val="Calibri"/>
        <family val="2"/>
        <charset val="1"/>
      </rPr>
      <t xml:space="preserve"> und auf ganzzahlige Vielfache von 10% </t>
    </r>
    <r>
      <rPr>
        <b val="true"/>
        <sz val="11"/>
        <color rgb="FF000000"/>
        <rFont val="Calibri"/>
        <family val="2"/>
        <charset val="1"/>
      </rPr>
      <t xml:space="preserve">gerundet</t>
    </r>
    <r>
      <rPr>
        <sz val="11"/>
        <color rgb="FF000000"/>
        <rFont val="Calibri"/>
        <family val="2"/>
        <charset val="1"/>
      </rPr>
      <t xml:space="preserve">.</t>
    </r>
  </si>
  <si>
    <t xml:space="preserve">Nel calcolo, i totali per argomento vengono automaticamente ponderati in base alla scheda informativa e arrotondati ai multipli interi del 10%.</t>
  </si>
  <si>
    <t xml:space="preserve">The calculation automatically weights each theme’s total value against the data in the ‘Company details’ section and rounds it to a whole-number multiple of 10%.</t>
  </si>
  <si>
    <t xml:space="preserve">Los valores introducidos son ponderados de acuerdo a los datos introducidos en la hoja 2. Company Facts. El resultado es redondeado y presentado como número entero.</t>
  </si>
  <si>
    <t xml:space="preserve">Die "GW-Matrix" bietet einen tabellarischen Überblick über Ihr Ergebnis.</t>
  </si>
  <si>
    <t xml:space="preserve">La "matrice EBC" fornisce una panoramica tabellare del risultato.</t>
  </si>
  <si>
    <t xml:space="preserve">The ECG-Matrix displays your result in a table.</t>
  </si>
  <si>
    <t xml:space="preserve">La hoja “ECG-Matrix” muestra los resultados en una tabla resumen.</t>
  </si>
  <si>
    <r>
      <rPr>
        <sz val="11"/>
        <color rgb="FF000000"/>
        <rFont val="Calibri"/>
        <family val="2"/>
        <charset val="1"/>
      </rPr>
      <t xml:space="preserve">Die "GW-Matrix" bietet einen </t>
    </r>
    <r>
      <rPr>
        <b val="true"/>
        <sz val="11"/>
        <color rgb="FF000000"/>
        <rFont val="Calibri"/>
        <family val="2"/>
        <charset val="1"/>
      </rPr>
      <t xml:space="preserve">tabellarischen Blick auf Ihr Ergebnis</t>
    </r>
    <r>
      <rPr>
        <sz val="11"/>
        <color rgb="FF000000"/>
        <rFont val="Calibri"/>
        <family val="2"/>
        <charset val="1"/>
      </rPr>
      <t xml:space="preserve">.</t>
    </r>
  </si>
  <si>
    <t xml:space="preserve">La "matrice EBC" offre una vista tabellare del risultato.</t>
  </si>
  <si>
    <t xml:space="preserve">The ECG Matrix displays your result in a table.</t>
  </si>
  <si>
    <t xml:space="preserve">La hoja “ECG-Matrix” muestra los resultados de la puntuación presentando una vista general en forma de matriz (tabla).</t>
  </si>
  <si>
    <r>
      <rPr>
        <sz val="11"/>
        <color rgb="FF000000"/>
        <rFont val="Calibri"/>
        <family val="2"/>
        <charset val="1"/>
      </rPr>
      <t xml:space="preserve">Der "Werte-Stern" zeigt schließlich Ihr </t>
    </r>
    <r>
      <rPr>
        <b val="true"/>
        <sz val="11"/>
        <color rgb="FF000000"/>
        <rFont val="Calibri"/>
        <family val="2"/>
        <charset val="1"/>
      </rPr>
      <t xml:space="preserve">Ergebnis nach Werten gegliedert</t>
    </r>
    <r>
      <rPr>
        <sz val="11"/>
        <color rgb="FF000000"/>
        <rFont val="Calibri"/>
        <family val="2"/>
        <charset val="1"/>
      </rPr>
      <t xml:space="preserve"> in graphischer Form.</t>
    </r>
  </si>
  <si>
    <t xml:space="preserve">La "stella dei valori" mostra infine il risultato in base a valori strutturati in forma grafica.</t>
  </si>
  <si>
    <t xml:space="preserve">The values-star displays your result arranged by value as a graphic.</t>
  </si>
  <si>
    <t xml:space="preserve">La hoja “Values” muestra un diagrama de araña en el que se muestran las puntuaciones según “valor” o columna de la matriz.</t>
  </si>
  <si>
    <r>
      <rPr>
        <sz val="11"/>
        <color rgb="FF000000"/>
        <rFont val="Calibri"/>
        <family val="2"/>
        <charset val="1"/>
      </rPr>
      <t xml:space="preserve">Der "Gruppen-Stern" zeigt schließlich Ihr </t>
    </r>
    <r>
      <rPr>
        <b val="true"/>
        <sz val="11"/>
        <color rgb="FF000000"/>
        <rFont val="Calibri"/>
        <family val="2"/>
        <charset val="1"/>
      </rPr>
      <t xml:space="preserve">Ergebnis nach Berührungsgruppen</t>
    </r>
    <r>
      <rPr>
        <sz val="11"/>
        <color rgb="FF000000"/>
        <rFont val="Calibri"/>
        <family val="2"/>
        <charset val="1"/>
      </rPr>
      <t xml:space="preserve"> gegliedert in graphischer Form.</t>
    </r>
  </si>
  <si>
    <t xml:space="preserve">La "stella dei gruppi" mostra infine il risultato in base a gruppi d’interesse  strutturati in forma grafica.</t>
  </si>
  <si>
    <t xml:space="preserve">The group-star displays your result arranged by stakeholder as a graphic.</t>
  </si>
  <si>
    <t xml:space="preserve">La hoja “Stakeholders” muestra un diagrama de araña en el que se muestran las puntuaciones según “grupo de interés” o fila de la matriz.</t>
  </si>
  <si>
    <r>
      <rPr>
        <sz val="11"/>
        <color rgb="FF000000"/>
        <rFont val="Calibri"/>
        <family val="2"/>
        <charset val="1"/>
      </rPr>
      <t xml:space="preserve">Der "Themen-Stern" zeigt schließlich Ihr Ergebnis in</t>
    </r>
    <r>
      <rPr>
        <b val="true"/>
        <sz val="11"/>
        <color rgb="FF000000"/>
        <rFont val="Calibri"/>
        <family val="2"/>
        <charset val="1"/>
      </rPr>
      <t xml:space="preserve"> allen Themen in graphischer Form</t>
    </r>
    <r>
      <rPr>
        <sz val="11"/>
        <color rgb="FF000000"/>
        <rFont val="Calibri"/>
        <family val="2"/>
        <charset val="1"/>
      </rPr>
      <t xml:space="preserve">.</t>
    </r>
  </si>
  <si>
    <t xml:space="preserve">La "stella dei temi" mostra finalmente il risultato in tutti i temi in forma grafica.</t>
  </si>
  <si>
    <t xml:space="preserve">The theme-star displays the result of your themes as a graphic.</t>
  </si>
  <si>
    <t xml:space="preserve">La hoja “Topics” muestra un diagrama de araña en el que se muestran las puntuaciones de cada tema.</t>
  </si>
  <si>
    <r>
      <rPr>
        <sz val="11"/>
        <color rgb="FF000000"/>
        <rFont val="Calibri"/>
        <family val="2"/>
        <charset val="1"/>
      </rPr>
      <t xml:space="preserve">Hier finden Sie eine </t>
    </r>
    <r>
      <rPr>
        <b val="true"/>
        <sz val="11"/>
        <color rgb="FF000000"/>
        <rFont val="Calibri"/>
        <family val="2"/>
        <charset val="1"/>
      </rPr>
      <t xml:space="preserve">Beschreibung der Gewichtungsmodelles</t>
    </r>
    <r>
      <rPr>
        <sz val="11"/>
        <color rgb="FF000000"/>
        <rFont val="Calibri"/>
        <family val="2"/>
        <charset val="1"/>
      </rPr>
      <t xml:space="preserve">. </t>
    </r>
  </si>
  <si>
    <t xml:space="preserve">Qui potete trovare una descrizione del modello di ponderazione.</t>
  </si>
  <si>
    <t xml:space="preserve">This is a description of the weighting model.</t>
  </si>
  <si>
    <t xml:space="preserve">En la hoja “Descr. Weighting” se encuentra una descripción del método de ponderación.</t>
  </si>
  <si>
    <r>
      <rPr>
        <sz val="11"/>
        <color rgb="FF000000"/>
        <rFont val="Calibri"/>
        <family val="2"/>
        <charset val="1"/>
      </rPr>
      <t xml:space="preserve">Hier erfolgt die </t>
    </r>
    <r>
      <rPr>
        <b val="true"/>
        <sz val="11"/>
        <color rgb="FF000000"/>
        <rFont val="Calibri"/>
        <family val="2"/>
        <charset val="1"/>
      </rPr>
      <t xml:space="preserve">Berechnung wie die einzelnen Berührungsgruppen und Themen gewichtet werden</t>
    </r>
    <r>
      <rPr>
        <sz val="11"/>
        <color rgb="FF000000"/>
        <rFont val="Calibri"/>
        <family val="2"/>
        <charset val="1"/>
      </rPr>
      <t xml:space="preserve">.</t>
    </r>
  </si>
  <si>
    <t xml:space="preserve">Qui il calcolo avviene come vengono pesati i singoli gruppi d’interesse ed i temi.</t>
  </si>
  <si>
    <t xml:space="preserve">This is where the calculation determines how the individual stakeholder groups and themes are weighted.</t>
  </si>
  <si>
    <t xml:space="preserve">En la hoja “Weighting” se realiza el cálculo para las ponderaciones de los grupos de interés y temas.</t>
  </si>
  <si>
    <r>
      <rPr>
        <sz val="11"/>
        <color rgb="FF000000"/>
        <rFont val="Calibri"/>
        <family val="2"/>
        <charset val="1"/>
      </rPr>
      <t xml:space="preserve">Enthält Einschätzungen der Relevanz von Zulieferkette und ökologische Nachhaltigkeit für alle </t>
    </r>
    <r>
      <rPr>
        <b val="true"/>
        <sz val="11"/>
        <color rgb="FF000000"/>
        <rFont val="Calibri"/>
        <family val="2"/>
        <charset val="1"/>
      </rPr>
      <t xml:space="preserve">Branchen,</t>
    </r>
    <r>
      <rPr>
        <sz val="11"/>
        <color rgb="FF000000"/>
        <rFont val="Calibri"/>
        <family val="2"/>
        <charset val="1"/>
      </rPr>
      <t xml:space="preserve">, die für die Gewichtung herangezogen werden. </t>
    </r>
  </si>
  <si>
    <t xml:space="preserve">Include stime della dell'importanza della rete dei fornitori e della sostenibilità ambientale per tutti i settori utilizzati per la ponderazione.</t>
  </si>
  <si>
    <t xml:space="preserve">This contains an assessment of the relevance of supply chains and environmental sustainability for all industry sectors, used in the weighting.</t>
  </si>
  <si>
    <t xml:space="preserve">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</si>
  <si>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</si>
  <si>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 xml:space="preserve">Contiene statistiche per paesi e regioni utilizzati per la ponderazione.</t>
  </si>
  <si>
    <t xml:space="preserve">This contains statistics for countries and regions used in the weighting.</t>
  </si>
  <si>
    <t xml:space="preserve">Esta hoja contiene estadísticas de países y regiones que son utilizadas para realizar las ponderaciones.</t>
  </si>
  <si>
    <t xml:space="preserve">2. Fakten zum Unternehmen</t>
  </si>
  <si>
    <t xml:space="preserve">2. Fatti sull'impresa</t>
  </si>
  <si>
    <t xml:space="preserve">2. Company details</t>
  </si>
  <si>
    <t xml:space="preserve">2. Datos de la empresa</t>
  </si>
  <si>
    <t xml:space="preserve">3. Berechnung</t>
  </si>
  <si>
    <t xml:space="preserve">3. calcolo</t>
  </si>
  <si>
    <t xml:space="preserve">3. Scoring</t>
  </si>
  <si>
    <t xml:space="preserve">3. Cálculo</t>
  </si>
  <si>
    <t xml:space="preserve">4. GW-Matrix</t>
  </si>
  <si>
    <t xml:space="preserve">4. matrice del bene comune</t>
  </si>
  <si>
    <t xml:space="preserve">4. ECG Matrix</t>
  </si>
  <si>
    <t xml:space="preserve">4. Matriz EBC</t>
  </si>
  <si>
    <t xml:space="preserve">5. Werte-Stern</t>
  </si>
  <si>
    <t xml:space="preserve">5. valori stella</t>
  </si>
  <si>
    <t xml:space="preserve">5. Values star</t>
  </si>
  <si>
    <t xml:space="preserve">5. Diagrama valores</t>
  </si>
  <si>
    <t xml:space="preserve">6. Gruppen-Stern</t>
  </si>
  <si>
    <t xml:space="preserve">6. gruppi stella</t>
  </si>
  <si>
    <t xml:space="preserve">6. Group star</t>
  </si>
  <si>
    <t xml:space="preserve">6. Diagrama grupos de interés</t>
  </si>
  <si>
    <t xml:space="preserve">7. Themen-Stern</t>
  </si>
  <si>
    <t xml:space="preserve">7. argomenti stella</t>
  </si>
  <si>
    <t xml:space="preserve">7. Theme star</t>
  </si>
  <si>
    <t xml:space="preserve">7. Diagrama temas</t>
  </si>
  <si>
    <t xml:space="preserve">8. Beschreibung Gewichtungsmodell</t>
  </si>
  <si>
    <t xml:space="preserve">8. Modello di ponderazione della descrizione</t>
  </si>
  <si>
    <t xml:space="preserve">8. Weighting model description</t>
  </si>
  <si>
    <t xml:space="preserve">8. Descripción del método de ponderación</t>
  </si>
  <si>
    <t xml:space="preserve">9. Gewichtung (ausgeblendet)</t>
  </si>
  <si>
    <t xml:space="preserve">9. Ponderazione (nascosta)</t>
  </si>
  <si>
    <t xml:space="preserve">9. Weighting (hidden)</t>
  </si>
  <si>
    <t xml:space="preserve">9. Ponderación (oculta)</t>
  </si>
  <si>
    <t xml:space="preserve">10. Branchen (ausgeblendet)</t>
  </si>
  <si>
    <t xml:space="preserve">10. Settori (nascosti)</t>
  </si>
  <si>
    <t xml:space="preserve">10. Industry sectors (hidden)</t>
  </si>
  <si>
    <t xml:space="preserve">10. Sectores (oculta)</t>
  </si>
  <si>
    <t xml:space="preserve">11. Länder und Regionen (ausgeblendet)</t>
  </si>
  <si>
    <t xml:space="preserve">11. Paesi e regioni (nascosti)</t>
  </si>
  <si>
    <t xml:space="preserve">11. Countries (hidden)</t>
  </si>
  <si>
    <t xml:space="preserve">11. Países y regiones (oculta)</t>
  </si>
  <si>
    <t xml:space="preserve">LEGENDE</t>
  </si>
  <si>
    <t xml:space="preserve">LEGENDA</t>
  </si>
  <si>
    <t xml:space="preserve">KEY</t>
  </si>
  <si>
    <t xml:space="preserve">LEYENDA</t>
  </si>
  <si>
    <t xml:space="preserve">Feld ist beschreibbar (grüner Rahmen, dunkelgrüne Schrift)</t>
  </si>
  <si>
    <t xml:space="preserve">Il campo è descrivibile (cornici nere, scritta verde scuro)</t>
  </si>
  <si>
    <t xml:space="preserve">Field is editable (green frame, dark green text)</t>
  </si>
  <si>
    <t xml:space="preserve">Celda editable (borde verde, letra verde oscura)</t>
  </si>
  <si>
    <t xml:space="preserve">Feld ist nicht beschreibbar (grauer Rahmen, dunkelgraue Schrift)</t>
  </si>
  <si>
    <t xml:space="preserve">Il campo non è descrivibile (cornice grigia, scritta grigio scuro)</t>
  </si>
  <si>
    <t xml:space="preserve">Feld is read-only (grey frame, dark grey text)</t>
  </si>
  <si>
    <t xml:space="preserve">Celda protegida (borde gris, letra gris oscura)</t>
  </si>
  <si>
    <t xml:space="preserve">unerlaubter Wert eingegeben (zur korrekten Berechnung Wert ändern)</t>
  </si>
  <si>
    <t xml:space="preserve">È stato inserito un valore non permesso (per un calcolo corretto cambiare valore)</t>
  </si>
  <si>
    <t xml:space="preserve">non valid value entry (for correct calculation change value)</t>
  </si>
  <si>
    <t xml:space="preserve">Valor erróneo (cambie el valor para realizar un cálculo correcto)</t>
  </si>
  <si>
    <t xml:space="preserve">fehlerhafte Eingabe</t>
  </si>
  <si>
    <t xml:space="preserve">Values are not consistent</t>
  </si>
  <si>
    <t xml:space="preserve">Los valores no son consistentes</t>
  </si>
  <si>
    <t xml:space="preserve">ja</t>
  </si>
  <si>
    <t xml:space="preserve">si</t>
  </si>
  <si>
    <t xml:space="preserve">yes</t>
  </si>
  <si>
    <t xml:space="preserve">Sí</t>
  </si>
  <si>
    <t xml:space="preserve">nein</t>
  </si>
  <si>
    <t xml:space="preserve">no</t>
  </si>
  <si>
    <t xml:space="preserve">No</t>
  </si>
  <si>
    <t xml:space="preserve">Pas</t>
  </si>
  <si>
    <t xml:space="preserve">Nao</t>
  </si>
  <si>
    <t xml:space="preserve">KONTAKT</t>
  </si>
  <si>
    <t xml:space="preserve">CONTATTO</t>
  </si>
  <si>
    <t xml:space="preserve">CONTACT</t>
  </si>
  <si>
    <t xml:space="preserve">CONTACTO</t>
  </si>
  <si>
    <t xml:space="preserve">Fragen zur Bilanz-Erstellung: beratung@gemeinwohl-oekonomie.org (GWÖ-BeraterInnen);</t>
  </si>
  <si>
    <t xml:space="preserve">Domande per il bilancio: info@economia-del-ben-comune.it (consulenti EBC)</t>
  </si>
  <si>
    <t xml:space="preserve">Questions regarding preparation of balance sheet:
beratung@gemeinwohl-oekonomie.org (GWÖ-BeraterInnen);</t>
  </si>
  <si>
    <t xml:space="preserve">Preguntas sobre como elaborar el balance del Bien Común: nodo-empresas@economia-del-bien-comun.es</t>
  </si>
  <si>
    <t xml:space="preserve">Fragen zur Auditierung: audit@gemeinwohl-oekonomie.org (GWÖ-AuditorInnen);</t>
  </si>
  <si>
    <t xml:space="preserve">Domande per l'audit: audit@febc.eu (Verificatori/auditori EBC)</t>
  </si>
  <si>
    <t xml:space="preserve">Questions regarding audit: audit@gemeinwohl-oekonomie.org (GWÖ-AuditorInnen);</t>
  </si>
  <si>
    <t xml:space="preserve">Preguntas sobre la auditoría: nodo-empresas@economia-del-bien-comun.es</t>
  </si>
  <si>
    <r>
      <rPr>
        <sz val="11"/>
        <color rgb="FF000000"/>
        <rFont val="Calibri"/>
        <family val="2"/>
        <charset val="1"/>
      </rPr>
      <t xml:space="preserve">Weiterentwicklung der Matrix: </t>
    </r>
    <r>
      <rPr>
        <u val="single"/>
        <sz val="11"/>
        <color rgb="FF000000"/>
        <rFont val="Calibri"/>
        <family val="2"/>
        <charset val="1"/>
      </rPr>
      <t xml:space="preserve">bilanz@ecogood.org</t>
    </r>
    <r>
      <rPr>
        <sz val="11"/>
        <color rgb="FF000000"/>
        <rFont val="Calibri"/>
        <family val="2"/>
        <charset val="1"/>
      </rPr>
      <t xml:space="preserve"> (GWÖ-Matrix Entwicklungsteam);</t>
    </r>
  </si>
  <si>
    <t xml:space="preserve">Feedback on the development of the Matrix: bilanz@ecogood.org (Matrix Development Team)</t>
  </si>
  <si>
    <t xml:space="preserve">Desarrollo de la matriz: bilanz@ecogood.org (Equipo de desarrollo de la matriz EBC)</t>
  </si>
  <si>
    <t xml:space="preserve">Excel-Programmierung: Christian Loy (christian.loy@gmx.at); Christian Kozina; Multilanguage-tool: Bernhard Oberrauch</t>
  </si>
  <si>
    <t xml:space="preserve">Programmazione Excel: Christian Loy (christian.loy@gmx.at); Christian Kozina; Multilanguage-tool: Bernhard Oberrauch (info@a-bo.net)</t>
  </si>
  <si>
    <t xml:space="preserve">Excel programming: Christian Loy (christian.loy@gmx.at); Christian Kozina; Multilanguage tool: Bernhard Oberrauch</t>
  </si>
  <si>
    <t xml:space="preserve">Programación en Excel: Christian Loy (christian.loy@gmx.at);Christian Kozina; Multilanguage-tool: Bernhard Oberrauch</t>
  </si>
  <si>
    <t xml:space="preserve">Inhalte: GWÖ-Matrix Entwicklungsteam</t>
  </si>
  <si>
    <t xml:space="preserve">Contents: ECG-Matrix Development Team</t>
  </si>
  <si>
    <t xml:space="preserve">Contenido: Equipo de desarrollo de la matriz EBC</t>
  </si>
  <si>
    <t xml:space="preserve">ANMERKUNGEN</t>
  </si>
  <si>
    <t xml:space="preserve">ANNOTAZIONI</t>
  </si>
  <si>
    <t xml:space="preserve">NOTES</t>
  </si>
  <si>
    <t xml:space="preserve">NOTAS ACLARATORIAS</t>
  </si>
  <si>
    <t xml:space="preserve">Alle Tabellen sind optimiert für den Ausdruck auf A4 (Hoch- oder Querformat).
Die Höhe der Zeilen ist veränderbar, falls Sie mehr Text eingeben wollen.</t>
  </si>
  <si>
    <t xml:space="preserve">Tutte le tabelle sono ottimizzate per la stampa in A4 (verticale o orizzontale).
L’Altezza delle celle è modificabile, nel caso Lei dovesse inserire più testo.</t>
  </si>
  <si>
    <t xml:space="preserve">All sheets are optimised for printing on A4 format (landscape or portrait).
The height of rows can be adjusted, if you enter more text</t>
  </si>
  <si>
    <t xml:space="preserve">Todas las hojas están editadas de tal manera que puedan imprimirse en un A4 (horizontal o vertical).
Si necesita más espacio para añadir más texto puede cambiar la altura de las filas.</t>
  </si>
  <si>
    <t xml:space="preserve">ALLGEMEINE ANGABEN ZUM UNTERNEHMEN</t>
  </si>
  <si>
    <t xml:space="preserve">Dati dell'impresa</t>
  </si>
  <si>
    <t xml:space="preserve">GENERAL INFORMATION ABOUT THE COMPANY</t>
  </si>
  <si>
    <t xml:space="preserve">INFORMACIÓN GENERAL SOBRE LA EMPRESA</t>
  </si>
  <si>
    <t xml:space="preserve">Bitte vollständig ausfüllen!</t>
  </si>
  <si>
    <t xml:space="preserve">Per favore compili completamente!</t>
  </si>
  <si>
    <t xml:space="preserve">Please complete all fields.</t>
  </si>
  <si>
    <t xml:space="preserve">Por favor introduzca todos los datos</t>
  </si>
  <si>
    <t xml:space="preserve">Name des Unternehmens:</t>
  </si>
  <si>
    <t xml:space="preserve">Nome dell'impresa:</t>
  </si>
  <si>
    <t xml:space="preserve">Name of Company / Organisation:</t>
  </si>
  <si>
    <t xml:space="preserve">Nombre de la empresa:</t>
  </si>
  <si>
    <t xml:space="preserve">Anschrift:</t>
  </si>
  <si>
    <t xml:space="preserve">Indirizzo:</t>
  </si>
  <si>
    <t xml:space="preserve">Address:</t>
  </si>
  <si>
    <t xml:space="preserve">Dirección:</t>
  </si>
  <si>
    <t xml:space="preserve">Staat:</t>
  </si>
  <si>
    <t xml:space="preserve">Stato:</t>
  </si>
  <si>
    <t xml:space="preserve">Country:</t>
  </si>
  <si>
    <t xml:space="preserve">Estado:</t>
  </si>
  <si>
    <t xml:space="preserve">Branche:</t>
  </si>
  <si>
    <t xml:space="preserve">Settore:</t>
  </si>
  <si>
    <t xml:space="preserve">Industry sector:</t>
  </si>
  <si>
    <t xml:space="preserve">Sector:</t>
  </si>
  <si>
    <t xml:space="preserve">Website:</t>
  </si>
  <si>
    <t xml:space="preserve">Sito web:</t>
  </si>
  <si>
    <t xml:space="preserve">Página web:</t>
  </si>
  <si>
    <t xml:space="preserve">Anzahl der MitarbeiterInnen:</t>
  </si>
  <si>
    <t xml:space="preserve">Presenza adetti</t>
  </si>
  <si>
    <t xml:space="preserve">Number of employees</t>
  </si>
  <si>
    <t xml:space="preserve">Número de trabajadores:</t>
  </si>
  <si>
    <t xml:space="preserve">Ein-Personen-Unternehmen:</t>
  </si>
  <si>
    <t xml:space="preserve">Impresa "di un collabpratore":</t>
  </si>
  <si>
    <t xml:space="preserve">Sole trader (ST) (or single-person)</t>
  </si>
  <si>
    <t xml:space="preserve">Empresas unipersonales:</t>
  </si>
  <si>
    <t xml:space="preserve">(Hinweis: Wenn ja, werden die für EPUs gültigen Werte automatisch in die Berechnung übernommen.)</t>
  </si>
  <si>
    <t xml:space="preserve">(Attenzione: se la risposta è si, I valori validi per l’impresa individuale vengono accettati automaticamente nel calcolo.)</t>
  </si>
  <si>
    <t xml:space="preserve">(Note: If yes, the values for STs will be filled in automatically for the calculation)</t>
  </si>
  <si>
    <t xml:space="preserve">(Nota: si introduce sí, entonces se aplican algunos valores automáticos en la ponderación)</t>
  </si>
  <si>
    <t xml:space="preserve">Bilanzjahr:</t>
  </si>
  <si>
    <t xml:space="preserve">bilancio anno:</t>
  </si>
  <si>
    <t xml:space="preserve">Balance year:</t>
  </si>
  <si>
    <t xml:space="preserve">Año del balance:</t>
  </si>
  <si>
    <t xml:space="preserve">ErstellerIn:</t>
  </si>
  <si>
    <t xml:space="preserve">Compilatore/trice:</t>
  </si>
  <si>
    <t xml:space="preserve">Document created by:</t>
  </si>
  <si>
    <t xml:space="preserve">Redactor del balance:</t>
  </si>
  <si>
    <t xml:space="preserve">E-Mail-Adresse:</t>
  </si>
  <si>
    <t xml:space="preserve">indirizzo mail:</t>
  </si>
  <si>
    <t xml:space="preserve">Email address:</t>
  </si>
  <si>
    <t xml:space="preserve">E-mail:</t>
  </si>
  <si>
    <t xml:space="preserve">Telefonnummer:</t>
  </si>
  <si>
    <t xml:space="preserve">numero di telefono:</t>
  </si>
  <si>
    <t xml:space="preserve">Phone number:</t>
  </si>
  <si>
    <t xml:space="preserve">Teléfono:</t>
  </si>
  <si>
    <t xml:space="preserve">BeraterIn:</t>
  </si>
  <si>
    <t xml:space="preserve">Consulente:</t>
  </si>
  <si>
    <t xml:space="preserve">Consultant:</t>
  </si>
  <si>
    <t xml:space="preserve">Consultor/a:</t>
  </si>
  <si>
    <t xml:space="preserve">E-mail address:</t>
  </si>
  <si>
    <t xml:space="preserve">Phone Number</t>
  </si>
  <si>
    <t xml:space="preserve">Kurzbeschreibung
des Unternehmens:</t>
  </si>
  <si>
    <t xml:space="preserve">Breve descrizione dell'impresa:</t>
  </si>
  <si>
    <t xml:space="preserve">Short description of Company / Organisation</t>
  </si>
  <si>
    <t xml:space="preserve">Breve descripción de la empresa:</t>
  </si>
  <si>
    <t xml:space="preserve">Sonstige Anmerkungen:</t>
  </si>
  <si>
    <t xml:space="preserve">Altre osservazioni:</t>
  </si>
  <si>
    <t xml:space="preserve">Additional comments:</t>
  </si>
  <si>
    <t xml:space="preserve">Otros comentarios:</t>
  </si>
  <si>
    <t xml:space="preserve">BERECHNUNG DER EINZELNEN THEMEN</t>
  </si>
  <si>
    <t xml:space="preserve">Calcolo dei singoli criteri</t>
  </si>
  <si>
    <t xml:space="preserve">CALCULATION OF INDIVIDUAL INDICATORS</t>
  </si>
  <si>
    <t xml:space="preserve">CÁLCULO DE CADA UNO DE LOS TEMAS</t>
  </si>
  <si>
    <t xml:space="preserve">Unternehmen</t>
  </si>
  <si>
    <t xml:space="preserve">Azienda</t>
  </si>
  <si>
    <t xml:space="preserve">Company / Organisation</t>
  </si>
  <si>
    <t xml:space="preserve">Empresa:</t>
  </si>
  <si>
    <t xml:space="preserve">Empresa</t>
  </si>
  <si>
    <t xml:space="preserve">Bilanz-Jahr</t>
  </si>
  <si>
    <t xml:space="preserve">Anno di riferimento</t>
  </si>
  <si>
    <t xml:space="preserve">Period under review</t>
  </si>
  <si>
    <r>
      <rPr>
        <sz val="11"/>
        <color rgb="FF000000"/>
        <rFont val="Calibri"/>
        <family val="2"/>
        <charset val="1"/>
      </rPr>
      <t xml:space="preserve">Ano </t>
    </r>
    <r>
      <rPr>
        <sz val="11"/>
        <color rgb="FF404040"/>
        <rFont val="Calibri"/>
        <family val="2"/>
        <charset val="1"/>
      </rPr>
      <t xml:space="preserve">do Balançao</t>
    </r>
  </si>
  <si>
    <t xml:space="preserve">BERECHNUNG DER EINZELNEN ASPEKTE</t>
  </si>
  <si>
    <t xml:space="preserve">Calcolo detagliato dei singoli aspetti</t>
  </si>
  <si>
    <t xml:space="preserve">CALCULATION OF INDIVIDUAL ASPECTS</t>
  </si>
  <si>
    <t xml:space="preserve">CÁLCULO DE CADA UNO DE LOS ASPECTOS</t>
  </si>
  <si>
    <t xml:space="preserve">CÁLCULO DETALHADO DOS ASPECTOS</t>
  </si>
  <si>
    <t xml:space="preserve">Gemeinwohl-Bilanz-Rechner</t>
  </si>
  <si>
    <t xml:space="preserve">Calcolatore del bilancio del Bene Comune</t>
  </si>
  <si>
    <t xml:space="preserve">Common Good Balance Calculator</t>
  </si>
  <si>
    <t xml:space="preserve">Calculadora del Bien Común</t>
  </si>
  <si>
    <t xml:space="preserve">Tabela de Cálculo do Balançao do Bem Comum</t>
  </si>
  <si>
    <t xml:space="preserve">BILANZSUMME:</t>
  </si>
  <si>
    <t xml:space="preserve">Somma Bilancio:</t>
  </si>
  <si>
    <t xml:space="preserve">Total Balance Score:</t>
  </si>
  <si>
    <t xml:space="preserve">Puntuación total:</t>
  </si>
  <si>
    <t xml:space="preserve">SOMA DO BALANÇO:</t>
  </si>
  <si>
    <t xml:space="preserve">Nr.</t>
  </si>
  <si>
    <t xml:space="preserve">N°</t>
  </si>
  <si>
    <t xml:space="preserve">No.</t>
  </si>
  <si>
    <t xml:space="preserve">N.º</t>
  </si>
  <si>
    <t xml:space="preserve">Berührungsgruppe</t>
  </si>
  <si>
    <t xml:space="preserve">Gruppo coinvolto</t>
  </si>
  <si>
    <t xml:space="preserve">Stakeholders </t>
  </si>
  <si>
    <t xml:space="preserve">Grupos de interés</t>
  </si>
  <si>
    <t xml:space="preserve">Berührungsgruppe/Themen/Aspekte</t>
  </si>
  <si>
    <t xml:space="preserve">Gruppo d'Interesse/Tema/Aspetto</t>
  </si>
  <si>
    <t xml:space="preserve">Stakeholders/Indicators/Criteria</t>
  </si>
  <si>
    <t xml:space="preserve">Grupo de interés / Tema / Aspecto</t>
  </si>
  <si>
    <t xml:space="preserve">Gewichtung</t>
  </si>
  <si>
    <t xml:space="preserve">Peso</t>
  </si>
  <si>
    <t xml:space="preserve">Weight</t>
  </si>
  <si>
    <t xml:space="preserve">Ponderación</t>
  </si>
  <si>
    <t xml:space="preserve">molto alto</t>
  </si>
  <si>
    <t xml:space="preserve">very high</t>
  </si>
  <si>
    <t xml:space="preserve">Muy alta</t>
  </si>
  <si>
    <t xml:space="preserve">alto</t>
  </si>
  <si>
    <t xml:space="preserve">high</t>
  </si>
  <si>
    <t xml:space="preserve">Alta</t>
  </si>
  <si>
    <t xml:space="preserve">medio</t>
  </si>
  <si>
    <t xml:space="preserve">medium</t>
  </si>
  <si>
    <t xml:space="preserve">Media</t>
  </si>
  <si>
    <t xml:space="preserve">basso</t>
  </si>
  <si>
    <t xml:space="preserve">low</t>
  </si>
  <si>
    <t xml:space="preserve">Baja</t>
  </si>
  <si>
    <t xml:space="preserve">non da considerare</t>
  </si>
  <si>
    <t xml:space="preserve">not applicable</t>
  </si>
  <si>
    <t xml:space="preserve">No aplica</t>
  </si>
  <si>
    <t xml:space="preserve">Erläuterung</t>
  </si>
  <si>
    <t xml:space="preserve">Descrizione</t>
  </si>
  <si>
    <t xml:space="preserve">Current status</t>
  </si>
  <si>
    <t xml:space="preserve">Estado actual</t>
  </si>
  <si>
    <t xml:space="preserve">Estado atual</t>
  </si>
  <si>
    <t xml:space="preserve">Verbesserungspotenzial</t>
  </si>
  <si>
    <t xml:space="preserve">Possibilità di miglioramento</t>
  </si>
  <si>
    <t xml:space="preserve">Potential for improvement</t>
  </si>
  <si>
    <t xml:space="preserve">Áreas de mejora</t>
  </si>
  <si>
    <t xml:space="preserve">Potencial de aperfeiçoamento</t>
  </si>
  <si>
    <t xml:space="preserve">Erfüll.</t>
  </si>
  <si>
    <t xml:space="preserve">Val%</t>
  </si>
  <si>
    <t xml:space="preserve">Est%</t>
  </si>
  <si>
    <t xml:space="preserve">Nivel</t>
  </si>
  <si>
    <t xml:space="preserve">Pkte</t>
  </si>
  <si>
    <t xml:space="preserve">Punti</t>
  </si>
  <si>
    <t xml:space="preserve">Points</t>
  </si>
  <si>
    <t xml:space="preserve">Punt.</t>
  </si>
  <si>
    <t xml:space="preserve">Max.</t>
  </si>
  <si>
    <t xml:space="preserve">Stakeholders/ tematiche/ aspetti</t>
  </si>
  <si>
    <t xml:space="preserve">Stakeholders/ Themes/ Aspects</t>
  </si>
  <si>
    <t xml:space="preserve">Grupo de interesse/Temas/Aspectos</t>
  </si>
  <si>
    <t xml:space="preserve">Lieferant*innen</t>
  </si>
  <si>
    <t xml:space="preserve">Fornitori</t>
  </si>
  <si>
    <t xml:space="preserve">Suppliers</t>
  </si>
  <si>
    <t xml:space="preserve">Proveedores</t>
  </si>
  <si>
    <t xml:space="preserve">FORNECEDOR*S</t>
  </si>
  <si>
    <t xml:space="preserve">Menschenwürde in der Zulieferkette</t>
  </si>
  <si>
    <t xml:space="preserve">La dignità umana lungo la catena di fornitura</t>
  </si>
  <si>
    <t xml:space="preserve">Human dignity in the supply chain</t>
  </si>
  <si>
    <t xml:space="preserve">Dignidad humana en la cadena de suministro</t>
  </si>
  <si>
    <t xml:space="preserve">Dignidade humana na cadeia de suprimentos</t>
  </si>
  <si>
    <t xml:space="preserve">Arbeitsbedingungen und gesellschaftliche Auswirkungen in der Zulieferkette</t>
  </si>
  <si>
    <t xml:space="preserve">Condizioni di lavoro e conseguenze sociali nella catena di fornitura</t>
  </si>
  <si>
    <t xml:space="preserve">Working conditions and social impact in the supply chain</t>
  </si>
  <si>
    <t xml:space="preserve">Condiciones de trabajo e impacto social en la cadena de suministro</t>
  </si>
  <si>
    <t xml:space="preserve">Condições de trabalho e impactos sociais na cadeia de suprimentos </t>
  </si>
  <si>
    <t xml:space="preserve">Negativ-Aspekt: Verletzung der Menschenwürde in der Zulieferkette</t>
  </si>
  <si>
    <t xml:space="preserve">Aspetto negativo: Violazione della dignità umana nella catena di fornitura</t>
  </si>
  <si>
    <t xml:space="preserve">Negative aspect: violation of human dignity in the supply chain</t>
  </si>
  <si>
    <t xml:space="preserve">Aspecto negativo: vulneración de la dignidad humana en la cadena de suministro</t>
  </si>
  <si>
    <t xml:space="preserve">Aspecto negativo: Violação da dignidade humana na cadeia de suprimentos</t>
  </si>
  <si>
    <t xml:space="preserve">Solidarität und Gerechtigkeit in der Zulieferkette</t>
  </si>
  <si>
    <t xml:space="preserve">Solidarietà e giustizia nella catena di fornitura</t>
  </si>
  <si>
    <t xml:space="preserve">Solidarity and social justice in the supply chain</t>
  </si>
  <si>
    <t xml:space="preserve">Justicia y solidaridad en la cadena de suministro</t>
  </si>
  <si>
    <t xml:space="preserve">Solidariedade e justiça na cadeia de suprimentos</t>
  </si>
  <si>
    <t xml:space="preserve">Faire Geschäftsbeziehungen zu direkten Lieferant*innen</t>
  </si>
  <si>
    <t xml:space="preserve">Relazioni commerciali eque nei confronti dei fornitori diretti</t>
  </si>
  <si>
    <t xml:space="preserve">Fair business practices towards direct suppliers</t>
  </si>
  <si>
    <t xml:space="preserve">Actitud ética con proveedores directos</t>
  </si>
  <si>
    <t xml:space="preserve">Relações comerciais justas com fornecedor*s diretos </t>
  </si>
  <si>
    <t xml:space="preserve">Positive Einflussnahme auf Solidarität und Gerechtigkeit in der gesamten Zulieferkette</t>
  </si>
  <si>
    <t xml:space="preserve">Influssi positivi sulla solidarietà e la giustizia lungo l'intera catena di fornitura</t>
  </si>
  <si>
    <t xml:space="preserve">Exercising a positive influence on solidarity and social justice in the supply chain</t>
  </si>
  <si>
    <t xml:space="preserve">Promoción de la justicia y la solidaridad en toda la cadena de suministro</t>
  </si>
  <si>
    <t xml:space="preserve">Influência positiva relativamente a solidariedade e justiça ao longo de toda a cadeia de suprimentos</t>
  </si>
  <si>
    <t xml:space="preserve">Negativ-Aspekt: Ausnutzung der Marktmacht gegenüber Lieferant*innen</t>
  </si>
  <si>
    <t xml:space="preserve">Aspetto negativo: Sfruttamento del potere di mercato nei confronti dei fornitori</t>
  </si>
  <si>
    <t xml:space="preserve">Negative aspect: abuse of market power against suppliers</t>
  </si>
  <si>
    <t xml:space="preserve">Aspecto negativo: abuso de poder de mercado frente a proveedores</t>
  </si>
  <si>
    <t xml:space="preserve">Aspecto negativo: Abuso do poder de mercado face a fornecedor*s</t>
  </si>
  <si>
    <t xml:space="preserve">Ökologische Nachhaltigkeit in der Zulieferkette</t>
  </si>
  <si>
    <t xml:space="preserve">Sostenibilità ecologica nella catena di fornitura</t>
  </si>
  <si>
    <t xml:space="preserve">Environmental sustainability in the supply chain</t>
  </si>
  <si>
    <t xml:space="preserve">Sostenibilidad medioambiental en la cadena de suministro</t>
  </si>
  <si>
    <t xml:space="preserve">Sustentabilidade ambiental na cadeia de suprimentos</t>
  </si>
  <si>
    <t xml:space="preserve">Umweltauswirkungen in der Zulieferkette</t>
  </si>
  <si>
    <t xml:space="preserve">Conseguenze ambientali lungo la catena di fornitura</t>
  </si>
  <si>
    <t xml:space="preserve">Environmental impact throughout the supply chain</t>
  </si>
  <si>
    <t xml:space="preserve">Impacto medioambiental en la cadena de suministro</t>
  </si>
  <si>
    <t xml:space="preserve">Impacto ambiental na cadeia de suprimentos</t>
  </si>
  <si>
    <t xml:space="preserve">Negativ-Aspekt:Unverhältnismäßig hohe Umweltauswirkungen in der Zulieferkette</t>
  </si>
  <si>
    <t xml:space="preserve">Aspetto negativo: Conseguenze ambientali sproporzionatamente elevate lungo la catena di fornitura</t>
  </si>
  <si>
    <t xml:space="preserve">Negative aspect: disproportionate environmental impact throughout the supply chain</t>
  </si>
  <si>
    <t xml:space="preserve">Aspecto negativo: impacto medioambiental desproporcionado en la cadena de suministro</t>
  </si>
  <si>
    <t xml:space="preserve">Aspecto negativo: Impactos ambientais proporcionalmente altos na cadeia de suprimentos</t>
  </si>
  <si>
    <t xml:space="preserve">Transparenz und Mitentscheidung in der Zulieferkette</t>
  </si>
  <si>
    <t xml:space="preserve">Trasparenza e condivisione delle decisioni lungo la catena di fornitura</t>
  </si>
  <si>
    <t xml:space="preserve">Transparency &amp; co-determination in the supply chain</t>
  </si>
  <si>
    <t xml:space="preserve">Transparencia y participación democrática en la cadena de suministro</t>
  </si>
  <si>
    <t xml:space="preserve">Transparência e co-decisão na cadeia de suprimentos</t>
  </si>
  <si>
    <t xml:space="preserve">Transparenz und Mitentscheidungsrechte für Lieferant*innen</t>
  </si>
  <si>
    <t xml:space="preserve">Trasparenza e diritti di condivisione delle decisioni per i fornitori</t>
  </si>
  <si>
    <t xml:space="preserve">Transparency towards suppliers and their right to co-determination</t>
  </si>
  <si>
    <t xml:space="preserve">Transparencia y participación democrática de los proveedores</t>
  </si>
  <si>
    <t xml:space="preserve">Transparência e direitos de co-decisão para fornecedor*s</t>
  </si>
  <si>
    <t xml:space="preserve">Positive Einflussnahme auf Transparenz und Mitentscheidung in der gesamten Zulieferkette</t>
  </si>
  <si>
    <t xml:space="preserve">Influssi positivi sulla trasparenza e la condivisione delle decisioni lungo l'intera catena di fornitura</t>
  </si>
  <si>
    <t xml:space="preserve">Positive influence on transparency and co-determination throughout the supply chain</t>
  </si>
  <si>
    <t xml:space="preserve">Promoción de la transparencia y participación democrática en toda la cadena de suministro</t>
  </si>
  <si>
    <t xml:space="preserve">Influência positiva relativamente a transparência e co-decisão ao longo de toda a cadeia de suprimentos</t>
  </si>
  <si>
    <t xml:space="preserve">Eigentümer*innen und Finanzpartner*innen</t>
  </si>
  <si>
    <t xml:space="preserve">Proprietari &amp; partner finanziari</t>
  </si>
  <si>
    <t xml:space="preserve">Owners, equity- and financial service providers</t>
  </si>
  <si>
    <t xml:space="preserve">Propietarios y proveedores financieros</t>
  </si>
  <si>
    <t xml:space="preserve">PROPRIETÁRI*S &amp; PARCEIR*S DE NEGÓCIO</t>
  </si>
  <si>
    <t xml:space="preserve">Ethische Haltung im Umgang mit Geldmitteln</t>
  </si>
  <si>
    <t xml:space="preserve">Atteggiamento etico nell'impiego di fondi</t>
  </si>
  <si>
    <t xml:space="preserve">Ethical position in relation to financial resources</t>
  </si>
  <si>
    <t xml:space="preserve">Actitud ética en la gestión de recursos financieros</t>
  </si>
  <si>
    <t xml:space="preserve">Atitude ética na gestão de recursos financeiros </t>
  </si>
  <si>
    <t xml:space="preserve">Finanzielle Unabhängigkeit durch Eigenfinanzierung</t>
  </si>
  <si>
    <t xml:space="preserve">Autonomia finanziaria grazie all'autofinanziamento</t>
  </si>
  <si>
    <t xml:space="preserve">Financial independence through equity financing</t>
  </si>
  <si>
    <t xml:space="preserve">Independencia financiera: autofinanciación</t>
  </si>
  <si>
    <t xml:space="preserve">Independência financeira por meio de autofinanciamento</t>
  </si>
  <si>
    <t xml:space="preserve">Gemeinwohlorientierte Fremdfinanzierung</t>
  </si>
  <si>
    <t xml:space="preserve">Finanziamento esterno orientato al bene comune</t>
  </si>
  <si>
    <t xml:space="preserve">Common Good-orientated borrowing</t>
  </si>
  <si>
    <t xml:space="preserve">Financiación externa orientada al Bien Común</t>
  </si>
  <si>
    <t xml:space="preserve">Financiamento externo por meio de instituições orientadas ao Bem Comum</t>
  </si>
  <si>
    <t xml:space="preserve">Ethische Haltung externer Finanzpartner*innen</t>
  </si>
  <si>
    <t xml:space="preserve">L'approccio etico di finanziatori esterni</t>
  </si>
  <si>
    <t xml:space="preserve">Ethical position of external financial partners</t>
  </si>
  <si>
    <t xml:space="preserve">Actitud ética de los proveedores financieros</t>
  </si>
  <si>
    <t xml:space="preserve">Atitude ética de parceir*s financeir*s extern*s </t>
  </si>
  <si>
    <t xml:space="preserve">Soziale Haltung im Umgang mit Geldmitteln</t>
  </si>
  <si>
    <t xml:space="preserve">Atteggiamento sociale nell'impiego di fondi</t>
  </si>
  <si>
    <t xml:space="preserve">Social position in relation to financial resources</t>
  </si>
  <si>
    <t xml:space="preserve">Actitud solidaria en la gestión de recursos financieros</t>
  </si>
  <si>
    <t xml:space="preserve">Atitude social na gestão de recursos financeiros </t>
  </si>
  <si>
    <t xml:space="preserve">Solidarische und gemeinwohlorientierte Mittelverwendung</t>
  </si>
  <si>
    <t xml:space="preserve">Impiego dei fondi solidale e orientato al bene comune</t>
  </si>
  <si>
    <t xml:space="preserve">Solidarity and Common Good-orientated use of funds</t>
  </si>
  <si>
    <t xml:space="preserve">Gestión de los recursos financieros de forma solidaria y orientada al Bien Común</t>
  </si>
  <si>
    <t xml:space="preserve">Alocação de recursos de forma solidária e orientada ao Bem Comum </t>
  </si>
  <si>
    <t xml:space="preserve">Negativ-Aspekt: Unfaire Verteilung von Geldmittel</t>
  </si>
  <si>
    <t xml:space="preserve">Aspetto negativo: Distribuzione iniqua di fondi</t>
  </si>
  <si>
    <t xml:space="preserve">Negative aspect: unfair distribution of funds</t>
  </si>
  <si>
    <t xml:space="preserve">Aspecto negativo: repartición injusta de los recursos financieros</t>
  </si>
  <si>
    <t xml:space="preserve">Aspecto negativo: Distribuição injusta de recursos financeiros </t>
  </si>
  <si>
    <t xml:space="preserve">Sozial-ökologische Investitionen und Mittelverwendung</t>
  </si>
  <si>
    <t xml:space="preserve">Investimenti socio-ecologici e impiego dei fondi</t>
  </si>
  <si>
    <t xml:space="preserve">Use of funds in relation to social and environmental impacts</t>
  </si>
  <si>
    <t xml:space="preserve">Inversiones financieras sostenibles y uso de los recursos financieros</t>
  </si>
  <si>
    <t xml:space="preserve">Investimentos e alocação de recursos com base em critérios sócio-ambientais </t>
  </si>
  <si>
    <t xml:space="preserve">Ökologische Qualität der Investitionen</t>
  </si>
  <si>
    <t xml:space="preserve">Qualità ecologica degli investimenti</t>
  </si>
  <si>
    <t xml:space="preserve">Environmental quality of investments</t>
  </si>
  <si>
    <t xml:space="preserve">Carácter ambiental de los recursos financieros</t>
  </si>
  <si>
    <t xml:space="preserve">Qualidade ambiental dos investimentos </t>
  </si>
  <si>
    <t xml:space="preserve">Gemeinwohlorientierte Veranlagung</t>
  </si>
  <si>
    <t xml:space="preserve">Investimento orientato al bene comune</t>
  </si>
  <si>
    <t xml:space="preserve">Common Good-orientated investment</t>
  </si>
  <si>
    <t xml:space="preserve">Inversiones orientadas al Bien Común</t>
  </si>
  <si>
    <t xml:space="preserve">Base fiscal/tributação orientada ao Bem Comum </t>
  </si>
  <si>
    <t xml:space="preserve">Negativ-Aspekt: Abhängigkeit von ökologisch bedenklichen Ressourcen</t>
  </si>
  <si>
    <t xml:space="preserve">Aspetto negativo: Dipendenza da risorse a rischio in termini ecologici</t>
  </si>
  <si>
    <t xml:space="preserve">Negative aspect: reliance on environmentally unsafe resources</t>
  </si>
  <si>
    <t xml:space="preserve">Aspecto negativo: dependencia de recursos perjudiciales para el medio ambiente</t>
  </si>
  <si>
    <t xml:space="preserve">Aspecto negativo: Dependência de recursos ambientalmente questionáveis </t>
  </si>
  <si>
    <t xml:space="preserve">Eigentum und Mitentscheidung</t>
  </si>
  <si>
    <t xml:space="preserve">Proprietà e condivisione delle decisioni</t>
  </si>
  <si>
    <t xml:space="preserve">Ownership and co-determination</t>
  </si>
  <si>
    <t xml:space="preserve">Propiedad y participación democrática</t>
  </si>
  <si>
    <t xml:space="preserve">Propriedade e co-decisão</t>
  </si>
  <si>
    <t xml:space="preserve">Gemeinwohlorientierte Eigentumsstruktur</t>
  </si>
  <si>
    <t xml:space="preserve">Struttura di proprietà orientata al bene comune</t>
  </si>
  <si>
    <t xml:space="preserve">Common Good-orientated ownership structure</t>
  </si>
  <si>
    <t xml:space="preserve">Distribución de la propiedad orientada al Bien Común</t>
  </si>
  <si>
    <t xml:space="preserve">Estrutura de propriedade orientada ao Bem Comum</t>
  </si>
  <si>
    <t xml:space="preserve">Negativ-Aspekt: Feindliche Übernahme</t>
  </si>
  <si>
    <t xml:space="preserve">Aspetto negativo: Scalata ostile</t>
  </si>
  <si>
    <t xml:space="preserve">Negative aspect: hostile takeover</t>
  </si>
  <si>
    <t xml:space="preserve">Aspecto negativo: oferta pública de adquisición (OPA) hostil</t>
  </si>
  <si>
    <t xml:space="preserve">Aspecto negativo: Aquisição hostil</t>
  </si>
  <si>
    <t xml:space="preserve">Mitarbeitende</t>
  </si>
  <si>
    <t xml:space="preserve">Collaboratori</t>
  </si>
  <si>
    <t xml:space="preserve">Employees</t>
  </si>
  <si>
    <t xml:space="preserve">Trabajadores</t>
  </si>
  <si>
    <t xml:space="preserve">COLABORADOR*S </t>
  </si>
  <si>
    <t xml:space="preserve">Menschenwürde am Arbeitsplatz</t>
  </si>
  <si>
    <t xml:space="preserve">La dignità umana sul posto di lavoro</t>
  </si>
  <si>
    <t xml:space="preserve">Human dignity in the workplace and working environment</t>
  </si>
  <si>
    <t xml:space="preserve">Dignidad humana en el puesto de trabajo</t>
  </si>
  <si>
    <t xml:space="preserve">Dignidade humana no local de trabalho</t>
  </si>
  <si>
    <t xml:space="preserve">Mitarbeiterorientierte Unternehmenskultur</t>
  </si>
  <si>
    <t xml:space="preserve">Cultura aziendale orientata ai collaboratori</t>
  </si>
  <si>
    <t xml:space="preserve">Employee-focused organisational culture</t>
  </si>
  <si>
    <t xml:space="preserve">Cultura empresarial orientada a las personas</t>
  </si>
  <si>
    <t xml:space="preserve">Cultura corporativa orientada aos/às colaborador*s</t>
  </si>
  <si>
    <t xml:space="preserve">Gesundheitsförderung und Arbeitsschutz</t>
  </si>
  <si>
    <t xml:space="preserve">Promozione della salute e protezione sul posto di lavoro </t>
  </si>
  <si>
    <t xml:space="preserve">Health promotion and occupational health and safety</t>
  </si>
  <si>
    <t xml:space="preserve">Promoción de la salud y seguridad en el trabajo</t>
  </si>
  <si>
    <t xml:space="preserve">Promoção da saúde e da segurança ocupacional</t>
  </si>
  <si>
    <t xml:space="preserve">Diversität und Chancengleichheit</t>
  </si>
  <si>
    <t xml:space="preserve">Diversità e pari opportunità</t>
  </si>
  <si>
    <t xml:space="preserve">Diversity and equal opportunities</t>
  </si>
  <si>
    <t xml:space="preserve">Diversidad e igualdad de oportunidades</t>
  </si>
  <si>
    <t xml:space="preserve">Diversidade e igualdade de oportunidades</t>
  </si>
  <si>
    <t xml:space="preserve">Negativ-Aspekt: Menschenunwürdige Arbeitsbedingungen</t>
  </si>
  <si>
    <t xml:space="preserve">Aspetto negativo: Condizioni di lavoro disumane</t>
  </si>
  <si>
    <t xml:space="preserve">Negative aspect: unfit working conditions</t>
  </si>
  <si>
    <t xml:space="preserve">Aspecto negativo: condiciones de trabajo indignas</t>
  </si>
  <si>
    <t xml:space="preserve">Aspecto negativo: Condições de trabalho que ferem a dignidade humana </t>
  </si>
  <si>
    <t xml:space="preserve">Ausgestaltung der Arbeitsverträge</t>
  </si>
  <si>
    <t xml:space="preserve">Welfare aziendale, retribuzione e organizzazione del lavoro</t>
  </si>
  <si>
    <t xml:space="preserve">Self-determined working arrangements</t>
  </si>
  <si>
    <t xml:space="preserve">Formalidad de los contratos de trabajo</t>
  </si>
  <si>
    <t xml:space="preserve">Configuração dos contratos de trabalho</t>
  </si>
  <si>
    <t xml:space="preserve">Ausgestaltung des Verdienstes</t>
  </si>
  <si>
    <t xml:space="preserve">Strutturazione del guadagno</t>
  </si>
  <si>
    <t xml:space="preserve">Pay structure</t>
  </si>
  <si>
    <t xml:space="preserve">Formalidad y estructura salarial</t>
  </si>
  <si>
    <t xml:space="preserve">Configuração da remuneração </t>
  </si>
  <si>
    <t xml:space="preserve">Ausgestaltung der Arbeitszeit</t>
  </si>
  <si>
    <t xml:space="preserve">Organizzazione dell'orario di lavoro</t>
  </si>
  <si>
    <t xml:space="preserve">Structuring working time</t>
  </si>
  <si>
    <t xml:space="preserve">Formalidad en el horario laboral</t>
  </si>
  <si>
    <t xml:space="preserve">Configuração do horário de trabalho</t>
  </si>
  <si>
    <t xml:space="preserve">Ausgestaltung des Arbeitsverhältnisses und Work-Life-Balance</t>
  </si>
  <si>
    <t xml:space="preserve">Organizzazione del rapporto di lavoro e Work-Life-Balance</t>
  </si>
  <si>
    <t xml:space="preserve">Employment structure and work-life balance</t>
  </si>
  <si>
    <t xml:space="preserve">Formalidad en las condiciones de trabajo y en la conciliación</t>
  </si>
  <si>
    <t xml:space="preserve">Configuração das condições de trabalho, equilíbrio entre vida profissional e familiar</t>
  </si>
  <si>
    <t xml:space="preserve">Negativ-Aspekt: Ungerechte Ausgestaltung der Arbeitsverträge</t>
  </si>
  <si>
    <t xml:space="preserve">Aspetto negativo: Strutturazione ingiusta dei contratti di lavoro</t>
  </si>
  <si>
    <t xml:space="preserve">Negative aspect: unfair employment contracts</t>
  </si>
  <si>
    <t xml:space="preserve">Aspecto negativo: contratos de trabajo injustos</t>
  </si>
  <si>
    <t xml:space="preserve">Aspecto negativo: Configuração injusta dos contratos de trabalho </t>
  </si>
  <si>
    <t xml:space="preserve">Förderung des ökologischen Verhaltens der Mitarbeitenden</t>
  </si>
  <si>
    <t xml:space="preserve">Promozione del comportamento ecologico dei collaboratori</t>
  </si>
  <si>
    <t xml:space="preserve">Environmentally-friendly behaviour of staff</t>
  </si>
  <si>
    <t xml:space="preserve">Promoción de la responsabilidad medioambiental de los trabajadores</t>
  </si>
  <si>
    <t xml:space="preserve">Promoção de condutas sustentáveis entre colaborador*s</t>
  </si>
  <si>
    <t xml:space="preserve">Ernährung während der Arbeitszeit</t>
  </si>
  <si>
    <t xml:space="preserve">L'alimentazione durante l'orario di lavoro</t>
  </si>
  <si>
    <t xml:space="preserve">Food during working hours</t>
  </si>
  <si>
    <t xml:space="preserve">Alimentación durante la jornada laboral</t>
  </si>
  <si>
    <t xml:space="preserve">Alimentação durante o horário de trabalho </t>
  </si>
  <si>
    <t xml:space="preserve">Mobilität zum Arbeitsplatz</t>
  </si>
  <si>
    <t xml:space="preserve">Mobilità sul posto di lavoro</t>
  </si>
  <si>
    <t xml:space="preserve">Travel to work</t>
  </si>
  <si>
    <t xml:space="preserve">Movilidad sostenible al puesto de trabajo</t>
  </si>
  <si>
    <t xml:space="preserve">Mobilidade para o local de trabalho</t>
  </si>
  <si>
    <t xml:space="preserve">Organisationskultur, Sensibilisierung und unternehmensinterne Prozesse</t>
  </si>
  <si>
    <t xml:space="preserve">Cultura organizzativa, sensibilizzazione all'organizzazione ecologica dei processi</t>
  </si>
  <si>
    <t xml:space="preserve">Organisational culture, cultivating awareness for an environmentally-friendly approach</t>
  </si>
  <si>
    <t xml:space="preserve">Cultura empresarial sostenible y sensibilización con el medio ambiente</t>
  </si>
  <si>
    <t xml:space="preserve">Cultura organizacional, sensibilização e processos internos da empresa </t>
  </si>
  <si>
    <t xml:space="preserve">Negativ-Aspekt: Anleitung zur Verschwendung / Duldung unökologischen Verhaltens</t>
  </si>
  <si>
    <t xml:space="preserve">Aspetto negativo: Guida allo spreco / Tolleranza di comportamenti non ecologici</t>
  </si>
  <si>
    <t xml:space="preserve">Negative aspect: guidance on waste/ environmentally damaging practices</t>
  </si>
  <si>
    <t xml:space="preserve">Aspecto negativo: promoción y tolerancia frente a la actitud medioambiental no responsable</t>
  </si>
  <si>
    <t xml:space="preserve">Aspecto negativo: Orientação ao desperdício / tolerância de condutas ecologicamente nocivas </t>
  </si>
  <si>
    <t xml:space="preserve">Condivisione delle decisioni e trasparenza in azienda</t>
  </si>
  <si>
    <t xml:space="preserve">Co-determination and transparency within the organisation</t>
  </si>
  <si>
    <t xml:space="preserve">Transparencia y participación democrática interna</t>
  </si>
  <si>
    <t xml:space="preserve">Co-decisão e transparência no âmbito da empresa</t>
  </si>
  <si>
    <t xml:space="preserve">Innerbetriebliche Transparenz</t>
  </si>
  <si>
    <t xml:space="preserve">Trasparenza in azienda</t>
  </si>
  <si>
    <t xml:space="preserve">Transparency within the organisation</t>
  </si>
  <si>
    <t xml:space="preserve">Transparencia interna</t>
  </si>
  <si>
    <t xml:space="preserve">Transparência interna</t>
  </si>
  <si>
    <t xml:space="preserve">Legitimierung der Führungskräfte</t>
  </si>
  <si>
    <t xml:space="preserve">Legittimazione dei dirigenti</t>
  </si>
  <si>
    <t xml:space="preserve">Legitimation of the management</t>
  </si>
  <si>
    <t xml:space="preserve">Legitimación de la dirección</t>
  </si>
  <si>
    <t xml:space="preserve">Legitimação dos líderes</t>
  </si>
  <si>
    <t xml:space="preserve">Mitentscheidung der Mitarbeitenden</t>
  </si>
  <si>
    <t xml:space="preserve">Condivisione delle decisioni da parte dei collaboratori</t>
  </si>
  <si>
    <t xml:space="preserve">Employee co-determination</t>
  </si>
  <si>
    <t xml:space="preserve">Participación de los trabajadores en la toma de decisiones</t>
  </si>
  <si>
    <t xml:space="preserve">Co-decisão por parte d*s colaborador*s </t>
  </si>
  <si>
    <t xml:space="preserve">Negativ-Aspekt C4.4: Verhinderung des Betriebsrates</t>
  </si>
  <si>
    <t xml:space="preserve">Aspetto negativo: Impedimento del consiglio aziendale</t>
  </si>
  <si>
    <t xml:space="preserve">Negative aspect: obstruction of works councils</t>
  </si>
  <si>
    <t xml:space="preserve">Aspecto negativo: Impedimiento del comité de empresa</t>
  </si>
  <si>
    <t xml:space="preserve">Aspecto negativo: Impedimento da formação de Comités de Empresa</t>
  </si>
  <si>
    <t xml:space="preserve">Kund*nnen und Mitunternehmen</t>
  </si>
  <si>
    <t xml:space="preserve">Clienti &amp; concorrenti</t>
  </si>
  <si>
    <t xml:space="preserve">Customers and other companies</t>
  </si>
  <si>
    <t xml:space="preserve">Clientes y otras empresas</t>
  </si>
  <si>
    <t xml:space="preserve">CLIENTES &amp; PARCEIR*S DE NEGÓCIO </t>
  </si>
  <si>
    <t xml:space="preserve">Ethische Kund*innenbeziehungen</t>
  </si>
  <si>
    <t xml:space="preserve">Relazioni etiche con la clientela</t>
  </si>
  <si>
    <t xml:space="preserve">Ethical customer relations</t>
  </si>
  <si>
    <t xml:space="preserve">Actitud ética con los clientes</t>
  </si>
  <si>
    <t xml:space="preserve">con la clientela</t>
  </si>
  <si>
    <t xml:space="preserve">Relações éticas com clientes</t>
  </si>
  <si>
    <t xml:space="preserve">Menschenwürdige Kommunikation mit Kund*innen</t>
  </si>
  <si>
    <t xml:space="preserve">Comunicazione dignitosa con i clienti</t>
  </si>
  <si>
    <t xml:space="preserve">Respect for human dignity in communication with customers</t>
  </si>
  <si>
    <t xml:space="preserve">Comunicación transparente con los clientes</t>
  </si>
  <si>
    <t xml:space="preserve">Comunicação com clientes de forma digna</t>
  </si>
  <si>
    <t xml:space="preserve">Barrierefreiheit</t>
  </si>
  <si>
    <t xml:space="preserve">Assenza di barriere</t>
  </si>
  <si>
    <t xml:space="preserve">Barrier-free access</t>
  </si>
  <si>
    <t xml:space="preserve">Accesibilidad</t>
  </si>
  <si>
    <t xml:space="preserve">Acessibilidade </t>
  </si>
  <si>
    <t xml:space="preserve">Negativ-Aspekt: Unethische Werbemaßnahmen</t>
  </si>
  <si>
    <t xml:space="preserve">Aspetto negativo: Misure pubblicitarie non etiche</t>
  </si>
  <si>
    <t xml:space="preserve">Negative aspect: unethical advertising</t>
  </si>
  <si>
    <t xml:space="preserve">Aspecto negativo: publicidad engañosa y acciones comerciales no éticas</t>
  </si>
  <si>
    <t xml:space="preserve">Aspecto negativo: Atividades promocionais antiéticas </t>
  </si>
  <si>
    <t xml:space="preserve">Kooperation und Solidarität mit Mitunternehmen</t>
  </si>
  <si>
    <t xml:space="preserve">Cooperazione e solidarietà con i concorrenti</t>
  </si>
  <si>
    <t xml:space="preserve">Cooperation and solidarity with other companies</t>
  </si>
  <si>
    <t xml:space="preserve">Cooperación y solidaridad con otras empresas del sector</t>
  </si>
  <si>
    <t xml:space="preserve">Cooperação e solidariedade com parceir*s de negócio</t>
  </si>
  <si>
    <t xml:space="preserve">Kooperation mit Mitunternehmen</t>
  </si>
  <si>
    <t xml:space="preserve">Cooperazione con i concorrenti</t>
  </si>
  <si>
    <t xml:space="preserve">Cooperation with other companies</t>
  </si>
  <si>
    <t xml:space="preserve">Cooperación con otras empresas</t>
  </si>
  <si>
    <t xml:space="preserve">Cooperação com parceir*s de negócio</t>
  </si>
  <si>
    <t xml:space="preserve">Solidarität mit Mitunternehmen</t>
  </si>
  <si>
    <t xml:space="preserve">La solidarietà con i concorrenti</t>
  </si>
  <si>
    <t xml:space="preserve">Solidarity with other companies</t>
  </si>
  <si>
    <t xml:space="preserve">Solidaridad con otras empresas</t>
  </si>
  <si>
    <t xml:space="preserve">Solidariedade com parceir*s de negócio</t>
  </si>
  <si>
    <t xml:space="preserve">Negativ-Aspekt D2.3: Missbrauch der Marktmacht gegenüber Mitunternehmen</t>
  </si>
  <si>
    <t xml:space="preserve">Aspetto negativo: Abuso del potere di mercato nei confronti dei concorrenti</t>
  </si>
  <si>
    <t xml:space="preserve">Negative aspect: abuse of market power to the detriment of other companies</t>
  </si>
  <si>
    <t xml:space="preserve">Aspecto negativo: abuso de poder de mercado frente a otras empresas</t>
  </si>
  <si>
    <t xml:space="preserve">Aspecto negativo: Abuso do poder de mercado face a parceir*s de negócio</t>
  </si>
  <si>
    <t xml:space="preserve">Ökologische Auswirkung durch Nutzung und Entsorgung von Produkten und Dienstleistungen</t>
  </si>
  <si>
    <t xml:space="preserve">Conseguenze ecologiche dell'utilizzo e dello smaltimento di prodotti e servizi</t>
  </si>
  <si>
    <t xml:space="preserve">Impact on the environment of the use and disposal of products and services</t>
  </si>
  <si>
    <t xml:space="preserve">Impacto medioambiental del uso y de la gestión de residuos de los productos y servicios</t>
  </si>
  <si>
    <t xml:space="preserve">Impacto ambiental do uso e do descarte de produtos e serviços</t>
  </si>
  <si>
    <t xml:space="preserve">Ökologisches Kosten-Nutzen-Verhältnis von Produkten und Dienstleistungen (Effizienz und Konsistenz)</t>
  </si>
  <si>
    <t xml:space="preserve">Rapporto ecologico costi/ benefici di prodotti e servizi (efficienza e consistenza)</t>
  </si>
  <si>
    <t xml:space="preserve">Environmental cost-benefit ration of products and services (efficiency and consistency) </t>
  </si>
  <si>
    <t xml:space="preserve">Relación coste-beneficio medioambiental de productos y ervicios (eficiencia y consistencia)</t>
  </si>
  <si>
    <t xml:space="preserve">Relação custo-benefício em termos ambientais de produtos e serviços (eficiência e consistência)</t>
  </si>
  <si>
    <t xml:space="preserve">Maßvolle Nutzung von Produkten und Dienstleistungen (Suffizienz)</t>
  </si>
  <si>
    <t xml:space="preserve">Utilizzo moderato di prodotti e servizi (sufficienza)</t>
  </si>
  <si>
    <t xml:space="preserve">Moderate use of products and services (sufficiency)</t>
  </si>
  <si>
    <t xml:space="preserve">Uso moderado de productos y servicios (suficiencia)</t>
  </si>
  <si>
    <t xml:space="preserve">Utilização moderada de produtos e serviços (suficiência)</t>
  </si>
  <si>
    <t xml:space="preserve">Negativ-Aspekt: Bewusste Inkaufnahme unverhältnismäßiger, ökologischer Auswirkungen</t>
  </si>
  <si>
    <t xml:space="preserve">Aspetto negativo: Accettazione consapevole di conseguenze ecologiche spropositate</t>
  </si>
  <si>
    <t xml:space="preserve">Negative aspect: wilful disregard of disproportionate environmental impacts</t>
  </si>
  <si>
    <t xml:space="preserve">Aspecto negativo: tolerancia frente al impacto medioambiental desproporcionado y consciente</t>
  </si>
  <si>
    <t xml:space="preserve">Aspecto negativo: Tolerância consciente de impactos ambientais excessivos </t>
  </si>
  <si>
    <t xml:space="preserve">Kund*innen-Mitwirkung und Produkttransparenz</t>
  </si>
  <si>
    <t xml:space="preserve">Partecipazione dei clienti e trasparenza dei prodotti</t>
  </si>
  <si>
    <t xml:space="preserve">Customer participation and product transparency</t>
  </si>
  <si>
    <t xml:space="preserve">Participación de los clientes y transparencia de producto</t>
  </si>
  <si>
    <t xml:space="preserve">Envolvimento de clientes e transparência de produtos</t>
  </si>
  <si>
    <t xml:space="preserve">Kund*innen-Mitwirkung, gemeinsame Produktentwicklung und Marktforschung</t>
  </si>
  <si>
    <t xml:space="preserve">Partecipazione dei clienti, sviluppo comune dei prodotti e ricerca di mercato</t>
  </si>
  <si>
    <t xml:space="preserve">Customer participation, joint product development and market research</t>
  </si>
  <si>
    <t xml:space="preserve">Participación de los clientes en la toma de decisiones, desarrollo de producto e investigación de mercado</t>
  </si>
  <si>
    <t xml:space="preserve">Envolvimento de clientes, desenvolvimento de produtos e pesquisa de mercado em parceria</t>
  </si>
  <si>
    <t xml:space="preserve">Produkttransparenz</t>
  </si>
  <si>
    <t xml:space="preserve">Trasparenza dei prodotti</t>
  </si>
  <si>
    <t xml:space="preserve">Product transparency</t>
  </si>
  <si>
    <t xml:space="preserve">Transparencia de producto</t>
  </si>
  <si>
    <t xml:space="preserve">Transparência de produtos</t>
  </si>
  <si>
    <t xml:space="preserve">Negativ-Aspekt: Kein Ausweis von Gefahrenstoffen</t>
  </si>
  <si>
    <t xml:space="preserve">Aspetto negativo: Mancata indicazione di sostanze pericolose</t>
  </si>
  <si>
    <t xml:space="preserve">Negative aspect: non-disclosure of hazardous substances</t>
  </si>
  <si>
    <t xml:space="preserve">Aspecto negativo: no declaración sobre sustancias/mercancías peligrosas</t>
  </si>
  <si>
    <t xml:space="preserve">Aspecto negativo: Não-declaração de substâncias perigosas</t>
  </si>
  <si>
    <t xml:space="preserve">Gesellschaftliches Umfeld</t>
  </si>
  <si>
    <t xml:space="preserve">Contesto sociale</t>
  </si>
  <si>
    <t xml:space="preserve">Social environment</t>
  </si>
  <si>
    <t xml:space="preserve">Entorno social</t>
  </si>
  <si>
    <t xml:space="preserve">MEIO SOCIAL </t>
  </si>
  <si>
    <t xml:space="preserve">Sinn und gesellschaftliche Wirkung der Produkte und Dienstleistungen</t>
  </si>
  <si>
    <t xml:space="preserve">Senso e impatto dei prodotti e servizi sulla società</t>
  </si>
  <si>
    <t xml:space="preserve">Purpose of products and services and their effects on society</t>
  </si>
  <si>
    <t xml:space="preserve">Propósito e impacto positivo de los productos y servicios</t>
  </si>
  <si>
    <t xml:space="preserve">Sentido e impacto social dos produtos e serviços</t>
  </si>
  <si>
    <t xml:space="preserve">Produkte und Dienstleistungen decken den Grundbedarf und dienen dem guten Leben</t>
  </si>
  <si>
    <t xml:space="preserve">Prodotti e servizi coprono il fabbisogno di base e sono utili a una buona vita</t>
  </si>
  <si>
    <t xml:space="preserve">Products and services should cover basic needs and contribute to a good life</t>
  </si>
  <si>
    <t xml:space="preserve">Productos y servicios que cubren las necesidades básicas y mejoran la calidad de vida</t>
  </si>
  <si>
    <t xml:space="preserve">Produtos e serviços respondem às necessidades básicas e fomentam o bem-estar</t>
  </si>
  <si>
    <t xml:space="preserve">Gesellschaftliche Wirkung der Produkte und Dienstleistungen</t>
  </si>
  <si>
    <t xml:space="preserve">Impatto dei prodotti e servizi sulla società</t>
  </si>
  <si>
    <t xml:space="preserve">Social impact of products and services</t>
  </si>
  <si>
    <t xml:space="preserve">Impacto social de los productos y servicios</t>
  </si>
  <si>
    <t xml:space="preserve">Impacto social dos produtos e serviços</t>
  </si>
  <si>
    <t xml:space="preserve">Negativ-Aspekt: Menschenunwürdige Produkte und Dienstleistungen</t>
  </si>
  <si>
    <t xml:space="preserve">Aspetto negativo: Prodotti e servizi disumani</t>
  </si>
  <si>
    <t xml:space="preserve">Negative aspect: unethical and unfit products and services</t>
  </si>
  <si>
    <t xml:space="preserve">Aspecto negativo: productos y servicios que vulneran la dignidad humana</t>
  </si>
  <si>
    <t xml:space="preserve">Aspecto negativo: Produtos e serviços que ferem a dignidade humana </t>
  </si>
  <si>
    <t xml:space="preserve">Beitrag zum Gemeinwesen</t>
  </si>
  <si>
    <t xml:space="preserve">Contributo per la collettività</t>
  </si>
  <si>
    <t xml:space="preserve">Contribution to the community</t>
  </si>
  <si>
    <t xml:space="preserve">Contribución a la comunidad</t>
  </si>
  <si>
    <t xml:space="preserve">Contribuição para a comunidade</t>
  </si>
  <si>
    <t xml:space="preserve">Steuern und Sozialabgaben</t>
  </si>
  <si>
    <t xml:space="preserve">Imposte e oneri sociali</t>
  </si>
  <si>
    <t xml:space="preserve">Taxes and social security contributions</t>
  </si>
  <si>
    <t xml:space="preserve">Impuestos y prestaciones sociales</t>
  </si>
  <si>
    <t xml:space="preserve">Impostos e encargos sociais </t>
  </si>
  <si>
    <t xml:space="preserve">Freiwillige Beiträge zur Stärkung des Gemeinwesens</t>
  </si>
  <si>
    <t xml:space="preserve">Contributi volontari per rafforzare la collettività</t>
  </si>
  <si>
    <t xml:space="preserve">Voluntary contributions that strengthen society</t>
  </si>
  <si>
    <t xml:space="preserve">Contribución voluntaria a la comunidad</t>
  </si>
  <si>
    <t xml:space="preserve">Contribuição voluntária para o fortalecimento da comunidade</t>
  </si>
  <si>
    <t xml:space="preserve">Negativ-Aspekt: Illegitime Steuervermeidung</t>
  </si>
  <si>
    <t xml:space="preserve">Aspetto negativo: Evasione fiscale illecita</t>
  </si>
  <si>
    <t xml:space="preserve">Negative aspect: inappropriate non-payment of tax</t>
  </si>
  <si>
    <t xml:space="preserve">Aspecto negativo: elusión y evasión fiscal</t>
  </si>
  <si>
    <t xml:space="preserve">Aspecto negativo: Evasão fiscal </t>
  </si>
  <si>
    <t xml:space="preserve">Negativ-Aspekt: Mangelnde Korruptionsprävention</t>
  </si>
  <si>
    <t xml:space="preserve">Aspetto negativo: Mancata prevenzione della corruzione</t>
  </si>
  <si>
    <t xml:space="preserve">Negative aspect: no anti-corruption policy</t>
  </si>
  <si>
    <t xml:space="preserve">Aspecto negativo: falta de prevención frente a la corrupción</t>
  </si>
  <si>
    <t xml:space="preserve">Aspecto negativo: Medidas insufucientes de prevenção da corrupção</t>
  </si>
  <si>
    <t xml:space="preserve">Reduktion ökologischer Auswirkungen</t>
  </si>
  <si>
    <t xml:space="preserve">Riduzione delle conseguenze ecologiche</t>
  </si>
  <si>
    <t xml:space="preserve">Reduction of environmental impact</t>
  </si>
  <si>
    <t xml:space="preserve">Reducción del impacto medioambiental</t>
  </si>
  <si>
    <t xml:space="preserve">Redução de impactos ambientais </t>
  </si>
  <si>
    <t xml:space="preserve">Absolute Auswirkungen / Management &amp; Strategie</t>
  </si>
  <si>
    <t xml:space="preserve">Conseguenze assolute / Management &amp; strategia</t>
  </si>
  <si>
    <t xml:space="preserve">Absolute impact and management strategy</t>
  </si>
  <si>
    <t xml:space="preserve">Impacto medioambiental / Gestión y estrategia</t>
  </si>
  <si>
    <t xml:space="preserve">Impactos absolutos / Gestão &amp; Estratégia</t>
  </si>
  <si>
    <t xml:space="preserve">Relative Auswirkungen</t>
  </si>
  <si>
    <t xml:space="preserve">Conseguenze relative</t>
  </si>
  <si>
    <t xml:space="preserve">Relative impact</t>
  </si>
  <si>
    <t xml:space="preserve">Impacto relativo</t>
  </si>
  <si>
    <t xml:space="preserve">Impactos relativos</t>
  </si>
  <si>
    <t xml:space="preserve">Negativ-Aspekt: Verstöße gegen Umweltauflagen sowie unangemessene Umweltbelastungen</t>
  </si>
  <si>
    <t xml:space="preserve">Aspetto negativo: Violazioni dei requisiti ambientali e impatto inadeguato sull'ambiente</t>
  </si>
  <si>
    <t xml:space="preserve">Negative aspect: infringement of environmental regulations and disproportionate environmental pollution</t>
  </si>
  <si>
    <t xml:space="preserve">Aspecto negativo: infracción de la normativa medioambiental e impacto desproporcionado</t>
  </si>
  <si>
    <t xml:space="preserve">Aspecto negativo: Violação de exigências ambientais, bem como elevados impactos ambientais </t>
  </si>
  <si>
    <t xml:space="preserve">Transparenz und gesellschaftliche Mitentscheidung</t>
  </si>
  <si>
    <t xml:space="preserve">Trasparenza e condivisione sociale delle decisioni</t>
  </si>
  <si>
    <t xml:space="preserve">Social co-determination and transparency</t>
  </si>
  <si>
    <t xml:space="preserve">Transparencia y participación democrática del entorno social</t>
  </si>
  <si>
    <t xml:space="preserve">Transparência e participação social na tomada de decisões </t>
  </si>
  <si>
    <t xml:space="preserve">Transparenz</t>
  </si>
  <si>
    <t xml:space="preserve">Trasparenza</t>
  </si>
  <si>
    <t xml:space="preserve">Transparency</t>
  </si>
  <si>
    <t xml:space="preserve">Transparencia</t>
  </si>
  <si>
    <t xml:space="preserve">Transparência</t>
  </si>
  <si>
    <t xml:space="preserve">Gesellschaftliche Mitbestimmung</t>
  </si>
  <si>
    <t xml:space="preserve">Condivisione sociale delle decisioni</t>
  </si>
  <si>
    <t xml:space="preserve">Social participation</t>
  </si>
  <si>
    <t xml:space="preserve">Participación en la toma de decisiones el entorno social</t>
  </si>
  <si>
    <t xml:space="preserve">Participação social na tomada de decisões</t>
  </si>
  <si>
    <t xml:space="preserve">Negativ-Aspekt: Förderung von Intransparenz und bewusste Fehlinformation</t>
  </si>
  <si>
    <t xml:space="preserve">Aspetto negativo: Promozione di poca trasparenza e informazioni consapevolmente errate</t>
  </si>
  <si>
    <t xml:space="preserve">Negative aspect: lack of transparency and wilful misinformation</t>
  </si>
  <si>
    <t xml:space="preserve">Aspecto negativo: manipulación de la información y falta de transparencia</t>
  </si>
  <si>
    <t xml:space="preserve">Aspecto negativo: Promoção de intransparência e propagação de informação enganosa</t>
  </si>
  <si>
    <t xml:space="preserve">Fakten zum Unternehmen</t>
  </si>
  <si>
    <t xml:space="preserve">Fatti sull’azienda</t>
  </si>
  <si>
    <t xml:space="preserve">Company details</t>
  </si>
  <si>
    <t xml:space="preserve">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</si>
  <si>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</si>
  <si>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 xml:space="preserve">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</si>
  <si>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 xml:space="preserve">Fill in the highlighted fields below. Where detailed information is not available, please enter estimates, otherwise the calculation will not be accurate</t>
  </si>
  <si>
    <t xml:space="preserve">Rellene los campos marcados con color. Si no dispusiera de algunos datos en concreto, estime su valor. Los datos son necesarios para que la hoja de cálculo funcione correctamente.</t>
  </si>
  <si>
    <t xml:space="preserve">bitte einfügen</t>
  </si>
  <si>
    <t xml:space="preserve">Inserisca per favore</t>
  </si>
  <si>
    <t xml:space="preserve">Please enter</t>
  </si>
  <si>
    <t xml:space="preserve">Escriba</t>
  </si>
  <si>
    <t xml:space="preserve">Bitte Auswählen</t>
  </si>
  <si>
    <t xml:space="preserve">Selezioni per favore</t>
  </si>
  <si>
    <t xml:space="preserve">Please choose</t>
  </si>
  <si>
    <t xml:space="preserve">Seleccione del catálogo</t>
  </si>
  <si>
    <t xml:space="preserve">Beschreibung des Gewichtungsmodelles</t>
  </si>
  <si>
    <t xml:space="preserve">Descrizione del modello di pesatura</t>
  </si>
  <si>
    <t xml:space="preserve">Description of the weighting model</t>
  </si>
  <si>
    <t xml:space="preserve">Descripción del método de ponderación</t>
  </si>
  <si>
    <t xml:space="preserve">Themen</t>
  </si>
  <si>
    <t xml:space="preserve">Temi</t>
  </si>
  <si>
    <t xml:space="preserve">Themes</t>
  </si>
  <si>
    <t xml:space="preserve">Temas</t>
  </si>
  <si>
    <t xml:space="preserve">Werte ►
Berührungsgruppe ▼</t>
  </si>
  <si>
    <t xml:space="preserve">Valori ►
Gruppi d‘interesse ▼</t>
  </si>
  <si>
    <t xml:space="preserve">Values ►
Stakekolders ▼</t>
  </si>
  <si>
    <t xml:space="preserve">Valores ►
Grupos deinterés ▼</t>
  </si>
  <si>
    <t xml:space="preserve">Berührungsgruppen &amp; Werte</t>
  </si>
  <si>
    <t xml:space="preserve">Gruppi d‘interesse &amp; valori</t>
  </si>
  <si>
    <t xml:space="preserve">Stakekolders &amp; values</t>
  </si>
  <si>
    <t xml:space="preserve">Grupos de interés ▼</t>
  </si>
  <si>
    <t xml:space="preserve">Allgemein</t>
  </si>
  <si>
    <t xml:space="preserve">Generale</t>
  </si>
  <si>
    <t xml:space="preserve">General</t>
  </si>
  <si>
    <t xml:space="preserve">Anmerkungen</t>
  </si>
  <si>
    <t xml:space="preserve">Note</t>
  </si>
  <si>
    <t xml:space="preserve">Notes</t>
  </si>
  <si>
    <t xml:space="preserve">Notas aclaratorias</t>
  </si>
  <si>
    <t xml:space="preserve"> (für EPUs skaliert)</t>
  </si>
  <si>
    <t xml:space="preserve"> (scalato per imprese individuali)</t>
  </si>
  <si>
    <t xml:space="preserve"> (scaled for STs)</t>
  </si>
  <si>
    <t xml:space="preserve">(ponderado para empresas unipersonales)</t>
  </si>
  <si>
    <t xml:space="preserve"> (für EPUs nicht relevant)</t>
  </si>
  <si>
    <t xml:space="preserve"> (non rilevante per imprese di un collaboratore)</t>
  </si>
  <si>
    <t xml:space="preserve"> (not relevant for STs)</t>
  </si>
  <si>
    <t xml:space="preserve">(no aplica en empresas unipersonales)</t>
  </si>
  <si>
    <t xml:space="preserve">Anmerkung: Dies ist kein Testat.</t>
  </si>
  <si>
    <t xml:space="preserve">Annotazione: Questo non è un attestato.</t>
  </si>
  <si>
    <t xml:space="preserve">Note: This is not a certificate.</t>
  </si>
  <si>
    <t xml:space="preserve">Nota: esto no es un certificado</t>
  </si>
  <si>
    <t xml:space="preserve">GEMEINWOHL-MATRIX</t>
  </si>
  <si>
    <t xml:space="preserve">MATRICE DEL BENE COMUNE</t>
  </si>
  <si>
    <t xml:space="preserve">COMMON GOOD MATRIX</t>
  </si>
  <si>
    <t xml:space="preserve">MATRIZ DEL BIEN COMÚN</t>
  </si>
  <si>
    <t xml:space="preserve"> von </t>
  </si>
  <si>
    <t xml:space="preserve"> di </t>
  </si>
  <si>
    <t xml:space="preserve">of</t>
  </si>
  <si>
    <t xml:space="preserve">de</t>
  </si>
  <si>
    <t xml:space="preserve"> Punkten</t>
  </si>
  <si>
    <t xml:space="preserve"> punti</t>
  </si>
  <si>
    <t xml:space="preserve"> points</t>
  </si>
  <si>
    <t xml:space="preserve"> Puntos</t>
  </si>
  <si>
    <t xml:space="preserve">Menschenwürde</t>
  </si>
  <si>
    <t xml:space="preserve">Dignità umana</t>
  </si>
  <si>
    <t xml:space="preserve">Human dignity</t>
  </si>
  <si>
    <t xml:space="preserve">Dignidad humana</t>
  </si>
  <si>
    <t xml:space="preserve">Solidarität &amp; Gerechtigkeit</t>
  </si>
  <si>
    <t xml:space="preserve">Solidarietà &amp; giustizia</t>
  </si>
  <si>
    <t xml:space="preserve">Solidarity &amp; social justice</t>
  </si>
  <si>
    <t xml:space="preserve">Solidaridad y justicia</t>
  </si>
  <si>
    <t xml:space="preserve">Ökologische Nachhaltigkeit</t>
  </si>
  <si>
    <t xml:space="preserve">Sostenibilità ambientale</t>
  </si>
  <si>
    <t xml:space="preserve">Environmental sustainability</t>
  </si>
  <si>
    <t xml:space="preserve">Sostenibilidad medioambiental</t>
  </si>
  <si>
    <t xml:space="preserve">Transparenz &amp; Mitentscheidung</t>
  </si>
  <si>
    <t xml:space="preserve">Trasparenza &amp; cogestione</t>
  </si>
  <si>
    <t xml:space="preserve">Transparency &amp; co-determination</t>
  </si>
  <si>
    <t xml:space="preserve">Transparencia y participación democrática</t>
  </si>
  <si>
    <t xml:space="preserve">Gemeinwohl-Stern für</t>
  </si>
  <si>
    <t xml:space="preserve">Stella del Bene Comune per</t>
  </si>
  <si>
    <t xml:space="preserve">Common Good Star for</t>
  </si>
  <si>
    <t xml:space="preserve">Diagrama de araña de</t>
  </si>
  <si>
    <t xml:space="preserve">BILANZ-ÜBERSICHT</t>
  </si>
  <si>
    <t xml:space="preserve">QUADRO DEL BILANCIO</t>
  </si>
  <si>
    <t xml:space="preserve">BALANCE OVERVIEW</t>
  </si>
  <si>
    <t xml:space="preserve">VISTA GLOBAL DEL BALANCE</t>
  </si>
  <si>
    <t xml:space="preserve">MITBESTIMMUNG UND TRANSPARENZ</t>
  </si>
  <si>
    <t xml:space="preserve">COGESTIONE E TRASPARENZA</t>
  </si>
  <si>
    <t xml:space="preserve">TRANSPARENCY &amp; CO-DETERMINATION</t>
  </si>
  <si>
    <t xml:space="preserve">TRANSPARENCIA Y PARTICIPACIÓN DEMOCRÁTICA</t>
  </si>
  <si>
    <t xml:space="preserve">MENSCHENWÜRDE</t>
  </si>
  <si>
    <t xml:space="preserve">DIGNITA’ UMANA</t>
  </si>
  <si>
    <t xml:space="preserve">HUMAN DIGNITY</t>
  </si>
  <si>
    <t xml:space="preserve">DIGNIDAD HUMANA</t>
  </si>
  <si>
    <t xml:space="preserve">SOLIDARITÄT</t>
  </si>
  <si>
    <t xml:space="preserve">SOLIDARIETA’</t>
  </si>
  <si>
    <t xml:space="preserve">SOLIDARITY</t>
  </si>
  <si>
    <t xml:space="preserve">SOLIDARIDAD</t>
  </si>
  <si>
    <t xml:space="preserve">ÖKOLOGISCHE NACHHALTIGKEIT</t>
  </si>
  <si>
    <t xml:space="preserve">SOSTENIBILITA’ AMBIENTALE</t>
  </si>
  <si>
    <t xml:space="preserve">ENVIRONMENTAL SUSTAINABILITY</t>
  </si>
  <si>
    <t xml:space="preserve">SOSTENIBILIDAD MEDIOAMBIENTAL</t>
  </si>
  <si>
    <t xml:space="preserve">SOZIALE GERECHTIGKEIT</t>
  </si>
  <si>
    <t xml:space="preserve">GIUSTIZIA SOCIALE</t>
  </si>
  <si>
    <t xml:space="preserve">SOCIAL JUSTICE</t>
  </si>
  <si>
    <t xml:space="preserve">JUSTICIA SOCIAL</t>
  </si>
  <si>
    <t xml:space="preserve">SUMME</t>
  </si>
  <si>
    <t xml:space="preserve">SOMMA</t>
  </si>
  <si>
    <t xml:space="preserve">TOTAL</t>
  </si>
  <si>
    <t xml:space="preserve">(für EPUs skaliert)</t>
  </si>
  <si>
    <t xml:space="preserve">(valori scalati per l’impresa di 1 persona)</t>
  </si>
  <si>
    <t xml:space="preserve">(scaled for STs)</t>
  </si>
  <si>
    <t xml:space="preserve">Dokumentation der Bewertung</t>
  </si>
  <si>
    <t xml:space="preserve">Documentazione della valutazione</t>
  </si>
  <si>
    <t xml:space="preserve">Documentation of assessment</t>
  </si>
  <si>
    <t xml:space="preserve">Documentación de la puntuación</t>
  </si>
  <si>
    <t xml:space="preserve">Selbsteinschätzung</t>
  </si>
  <si>
    <t xml:space="preserve">Valutazione propria</t>
  </si>
  <si>
    <t xml:space="preserve">Self-assessment</t>
  </si>
  <si>
    <t xml:space="preserve">Autoevaluación</t>
  </si>
  <si>
    <t xml:space="preserve">Peer-Evaluation</t>
  </si>
  <si>
    <t xml:space="preserve">Valutazione peer</t>
  </si>
  <si>
    <t xml:space="preserve">Peer-assessment</t>
  </si>
  <si>
    <t xml:space="preserve">Evaluación peer</t>
  </si>
  <si>
    <t xml:space="preserve">Provisorische Bewertung des externen Audits</t>
  </si>
  <si>
    <t xml:space="preserve">Valutazione esterna bozza</t>
  </si>
  <si>
    <t xml:space="preserve">Provisional audit assessment</t>
  </si>
  <si>
    <t xml:space="preserve">Puntuación provisional de la auditoría externa</t>
  </si>
  <si>
    <t xml:space="preserve">Definitive Bewertung externen Audits /Peer</t>
  </si>
  <si>
    <t xml:space="preserve">Valutazione definitiva audit esterno/Peer</t>
  </si>
  <si>
    <t xml:space="preserve">Agreed audit assessment</t>
  </si>
  <si>
    <t xml:space="preserve">Puntuación definitiva de la auditoría externa/Peer</t>
  </si>
  <si>
    <t xml:space="preserve">Passwort für den Schutz der Tabellen: „ebc“</t>
  </si>
  <si>
    <t xml:space="preserve">Password per la protezione delle tabelle: „ebc“</t>
  </si>
  <si>
    <t xml:space="preserve">Password for EXCEL sheet protection "ebc"</t>
  </si>
  <si>
    <t xml:space="preserve">Contraseña de esta hoja de cálculo: “ebc”</t>
  </si>
  <si>
    <t xml:space="preserve">alta</t>
  </si>
  <si>
    <t xml:space="preserve">media</t>
  </si>
  <si>
    <t xml:space="preserve">baja</t>
  </si>
  <si>
    <t xml:space="preserve">non applicabile</t>
  </si>
  <si>
    <t xml:space="preserve">non applicable</t>
  </si>
  <si>
    <t xml:space="preserve">no aplica</t>
  </si>
  <si>
    <t xml:space="preserve">Gewichtung geändert. Ursprünglich </t>
  </si>
  <si>
    <t xml:space="preserve">Peso cambiato. Originale </t>
  </si>
  <si>
    <t xml:space="preserve">Weighting changed. Original </t>
  </si>
  <si>
    <t xml:space="preserve">Ponderación cambiada. Original </t>
  </si>
  <si>
    <t xml:space="preserve">Werte-Stern für </t>
  </si>
  <si>
    <t xml:space="preserve">Stella dei valori per </t>
  </si>
  <si>
    <t xml:space="preserve">Values star for </t>
  </si>
  <si>
    <t xml:space="preserve">Diagrama de araña. Valores de</t>
  </si>
  <si>
    <t xml:space="preserve">Gruppen-Stern für </t>
  </si>
  <si>
    <t xml:space="preserve">Stella dei gruppi per </t>
  </si>
  <si>
    <t xml:space="preserve">Group star for </t>
  </si>
  <si>
    <t xml:space="preserve">Diagrama de araña. Grupos de interés de</t>
  </si>
  <si>
    <t xml:space="preserve">Themen-Stern für </t>
  </si>
  <si>
    <t xml:space="preserve">Stella dei temi per </t>
  </si>
  <si>
    <t xml:space="preserve">Theme star for </t>
  </si>
  <si>
    <t xml:space="preserve">Diagrama de araña. Temas de</t>
  </si>
  <si>
    <t xml:space="preserve">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</si>
  <si>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 xml:space="preserve">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</si>
  <si>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</si>
  <si>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 xml:space="preserve">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</si>
  <si>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</si>
  <si>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 xml:space="preserve">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</si>
  <si>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 xml:space="preserve">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</si>
  <si>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 xml:space="preserve">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</si>
  <si>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 xml:space="preserve">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</si>
  <si>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 xml:space="preserve">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</si>
  <si>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 xml:space="preserve">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</si>
  <si>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</si>
  <si>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 xml:space="preserve">Die Gewichtung dieses Thema’s ist abhängig von den sozialen Risiken der Zulieferbranchen</t>
  </si>
  <si>
    <t xml:space="preserve">La ponderazione di questo tema dipende dai rischi sociali del settore dei fornitori</t>
  </si>
  <si>
    <t xml:space="preserve">The weighting of this theme is dependent on the social risks of the supplier's sector.</t>
  </si>
  <si>
    <t xml:space="preserve">La ponderación de este tema depende de los riesgos sociales en la cadena de suministro.</t>
  </si>
  <si>
    <t xml:space="preserve">Die Gewichtung dieses Thema’s ist abhängig vom ökologischen Effekt der Branche des Lieferanten (siehe Tabellenblatt “Industry”)</t>
  </si>
  <si>
    <t xml:space="preserve">La ponderazione di questo tema dipende dall'effetto ecologico dell'impresa del fornitore (vedi foglio "impresa")</t>
  </si>
  <si>
    <t xml:space="preserve">The weighting of this theme is dependent on the environmental effect of the supplier's sector (see sheet “Industry").</t>
  </si>
  <si>
    <t xml:space="preserve">La ponderación de este tema depende de los impactos medioambientales del sector al que pertenecen sus proveedores (veáse la hoja “Industry”)</t>
  </si>
  <si>
    <t xml:space="preserve">Die Gewichtung dieses Thema’s ist abhängig von den Mitbestimmungsrechte in den Ländern der wichtigsten Zulieferbranchen (basierend auf dem ITUC-Index der International Trade Union Confederation)</t>
  </si>
  <si>
    <t xml:space="preserve">La ponderazione di questo tema dipende dai diritti di partecipazione nei paesi dei settori di approvvigionamento più importanti (in base alla CSI-indice della Confederazione internazionale dei sindacati)</t>
  </si>
  <si>
    <t xml:space="preserve">The weighting of this theme is dependent on co-determination rights in the countries of the most important supply industries (based on the ILUC index of the International Labour Union).</t>
  </si>
  <si>
    <t xml:space="preserve">La ponderación de este tema depende de los derechos de participación democrática en los países de los proveedores más importantes (basado en el índice que elabora la confederación sindical internacional ITUC)</t>
  </si>
  <si>
    <t xml:space="preserve">Die Gewichtung dieses Thema’s ist abhängig von der Relation Umsatz zu Bilanzsumme</t>
  </si>
  <si>
    <t xml:space="preserve">La ponderazione di questo argomento dipende dalla relazione tra fatturato e totale del bilancio</t>
  </si>
  <si>
    <t xml:space="preserve">The weighting of this theme depends on the ratio turnover to the balance sheet total.</t>
  </si>
  <si>
    <t xml:space="preserve">La ponderación de este tema depende del cociente Facturación / Balance (financiero)</t>
  </si>
  <si>
    <t xml:space="preserve">Die Gewichtung dieses Thema’s ist abhängig von der Relation Gewinn zu Umsatz </t>
  </si>
  <si>
    <t xml:space="preserve">La ponderazione di questo argomento dipende dalla relazione tra utile e fatturato</t>
  </si>
  <si>
    <t xml:space="preserve">The weighting of this theme depends on the ratio profit to turnover</t>
  </si>
  <si>
    <t xml:space="preserve">La ponderación de este tema depende del cociente beneficio neto / facturación </t>
  </si>
  <si>
    <t xml:space="preserve">Die Gewichtung dieses Thema’s ist abhängig  Zugängen zum Anlagevermögen und Finanzvermögen in Relation zu der Bilanzsumme</t>
  </si>
  <si>
    <t xml:space="preserve">La ponderazione di questo tema dipende dalle aggiunte alle attività e alle attività finanziarie in relazione al totale del bilancio</t>
  </si>
  <si>
    <t xml:space="preserve">The weighting of this theme is dependent on additions to fixed-assets and financial assets in relation to the balance sheet total.</t>
  </si>
  <si>
    <t xml:space="preserve">La ponderación de este tema depende del cociente de las altas de activos fijos y financieros en relación al balance (financiero)</t>
  </si>
  <si>
    <t xml:space="preserve">Die Gewichtung dieses Thema’s ist abhängig von der Größe des Unternehmens</t>
  </si>
  <si>
    <t xml:space="preserve">La ponderazione di questo tema dipende dalle dimensioni dell'impresa</t>
  </si>
  <si>
    <t xml:space="preserve">The weighting of this theme is dependent on the size of the company.</t>
  </si>
  <si>
    <t xml:space="preserve">La ponderación de este tema depende del tamaño de la empresa</t>
  </si>
  <si>
    <t xml:space="preserve">Die Gewichtung dieses Thema’s ist abhängig von der Existenz einer Kantine für die Mehrheit der Mitarbeiter*innen sowie dem (geschätzten) durchschnittlichen Anfahrtsweg zur Arbeit.</t>
  </si>
  <si>
    <t xml:space="preserve">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</si>
  <si>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</si>
  <si>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 xml:space="preserve">La ponderación de este tema depende de si la empresa tiene cantina a disposición de la mayoría de los trabajadores así como del trayecto medio (estimado) al puesto de trabajo.</t>
  </si>
  <si>
    <t xml:space="preserve">Die Gewichtung dieses Thema’s ist abhängig von der Größe des Unternehmens sowie von den Mitbestimmungsrechte in den Ländern der wichtigsten Standorte (basierend auf dem ITUC-Index der International Labour Union)</t>
  </si>
  <si>
    <t xml:space="preserve">La ponderazione di questo tema dipende dalle dimensioni dell'impresa e dai diritti di partecipazione nei paesi delle sedi più importanti (in base all'indice ITUC dell'International Labour Union)</t>
  </si>
  <si>
    <t xml:space="preserve">The weighting of this theme is dependent on company size and co-determination rights in the countries of the most important supply industries (based on the ILUC index of the International Labour Union).</t>
  </si>
  <si>
    <t xml:space="preserve">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</si>
  <si>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</si>
  <si>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 xml:space="preserve">La ponderazione di questo tema dipende dal settore</t>
  </si>
  <si>
    <t xml:space="preserve">The weighting of this theme depends on the industry sector.</t>
  </si>
  <si>
    <t xml:space="preserve">La ponderación de este tema depende del sector de la empresa</t>
  </si>
  <si>
    <t xml:space="preserve">Die Gewichtung dieses Thema’s ist abhängig davon, ob Kund*innen in erster Linie Private oder Unternehmen sind</t>
  </si>
  <si>
    <t xml:space="preserve">La ponderazione di questo tema dipende dal fatto che i clienti siano principalmente privati o imprese</t>
  </si>
  <si>
    <t xml:space="preserve">The weighting of this theme depends on whether customers are primarily individuals or companies.</t>
  </si>
  <si>
    <t xml:space="preserve">La ponderación de este tema depende de si la empresa es principalmente B2B o B2C</t>
  </si>
  <si>
    <t xml:space="preserve">Die Gewichtung dieses Thema’s ist abhängig von der Umsatzrentabilität (Gewinn/Umsatz)</t>
  </si>
  <si>
    <t xml:space="preserve">La ponderazione di questo tema dipende dal rendimento delle vendite (profitti / fatturato)</t>
  </si>
  <si>
    <t xml:space="preserve">The weighting of this theme is dependent on the return on sales (profit/turnover).</t>
  </si>
  <si>
    <t xml:space="preserve">La ponderación de este tema depende de la rentabilidad de la empresa entendida como Beneficios / Facturación</t>
  </si>
  <si>
    <t xml:space="preserve">Die Gewichtung dieses Thenma’s ist abhängig von der Branche</t>
  </si>
  <si>
    <t xml:space="preserve">Die Gewichtung dieses Thema’s ist abhängig von der Größe sowie der Branche des Unternehmens.</t>
  </si>
  <si>
    <t xml:space="preserve">La ponderazione di questo tema dipende dalle dimensioni sia del settore che dell’impresa.</t>
  </si>
  <si>
    <t xml:space="preserve">The weighting of this theme depends on the company size and the industry sector.</t>
  </si>
  <si>
    <t xml:space="preserve">La ponderación de este tema depende tanto del tamaño de la empresa como del sector.</t>
  </si>
  <si>
    <t xml:space="preserve">A - Landwirtschaft, Forstwirtschaft und Fischerei</t>
  </si>
  <si>
    <t xml:space="preserve">A-AGRICOLTURA, SILVICOLTURA E PESCA</t>
  </si>
  <si>
    <t xml:space="preserve">A - agriculture, forestry management, fishing industry</t>
  </si>
  <si>
    <t xml:space="preserve">A – Agricultura, silvicultura y pesca</t>
  </si>
  <si>
    <t xml:space="preserve">B - Bergbau und Gewinnung von Steinen und Erden</t>
  </si>
  <si>
    <t xml:space="preserve">B-ATTIVITÀ ESTRATTIVA</t>
  </si>
  <si>
    <t xml:space="preserve">B - Mining and quarrying</t>
  </si>
  <si>
    <t xml:space="preserve">B – Explotación de minas y canteras</t>
  </si>
  <si>
    <t xml:space="preserve">C - Verarbeitendes Gewerbe (nicht weiter spezifiziert)</t>
  </si>
  <si>
    <t xml:space="preserve">C-ATTIVITÀ MANIFATTURIERE</t>
  </si>
  <si>
    <t xml:space="preserve">C - Manufacturing industries (not further specified)</t>
  </si>
  <si>
    <t xml:space="preserve">C – Indutrias manufactureras</t>
  </si>
  <si>
    <t xml:space="preserve">Ca - Produktion von Lebensmittel, Getränken und Tabak (C10,C11,C12)</t>
  </si>
  <si>
    <t xml:space="preserve">Ca-Prodotti di alimenti e bevande</t>
  </si>
  <si>
    <t xml:space="preserve">Ca - Food production, drinks and tobacco (C10, C11, C12)</t>
  </si>
  <si>
    <t xml:space="preserve">Ca – Industria de alimentación, bebidas y tabaco (C10, C11, C12)</t>
  </si>
  <si>
    <t xml:space="preserve">Cb - Produktion von Textilien, Kleidung, Leder und Produkten hieraus (C13,C14,C15)</t>
  </si>
  <si>
    <t xml:space="preserve">Cb-Prodotti di tessuti, vestiti, cuoio</t>
  </si>
  <si>
    <t xml:space="preserve">Cb - Textile production, clothing, leather and leather products (C13, C14, C15)</t>
  </si>
  <si>
    <t xml:space="preserve">Cb – Industria textil, prendas de vestir, cuero y calzado (C13, C14, C15)</t>
  </si>
  <si>
    <t xml:space="preserve">Cc - Produktion von Holz- und Papierprodukten sowie Drucksorten (C16,C17,C18)</t>
  </si>
  <si>
    <t xml:space="preserve">Cc-Prodotti di legno e carta (C16,C17,C18)</t>
  </si>
  <si>
    <t xml:space="preserve">Cc - Paper and forest products, also printed matter (C16, C17, C18)</t>
  </si>
  <si>
    <t xml:space="preserve">Cc – Industria de la madera y el corcho; cestería y espartería; papel; artes gráficas y reproducción de soportes grabados</t>
  </si>
  <si>
    <t xml:space="preserve">Cd - Produktion von petrochemischen Produkte und Kunststoffen (C19, C20;C22)</t>
  </si>
  <si>
    <t xml:space="preserve">Cd-Prodotti petrol-sintetici e plastica (C19, C20;C22)</t>
  </si>
  <si>
    <t xml:space="preserve">Cd - Production of petrochemical products and plastics (C19, C20;C22)</t>
  </si>
  <si>
    <t xml:space="preserve">Cd – Industria química; coquerías y refino de petróleo; fabricación de productos de caucho y plásticos (C19, C20, C22)</t>
  </si>
  <si>
    <t xml:space="preserve">Ce - Produktion von pharmazeutischen Produktion und Präparaten (C21)</t>
  </si>
  <si>
    <t xml:space="preserve">Ce-Prodotti farmaceutici e medicinali (C21)</t>
  </si>
  <si>
    <t xml:space="preserve">Ce - Pharmaceutical products and preparations (C21)</t>
  </si>
  <si>
    <t xml:space="preserve">Ce – Fabricación de productos farmacéuticos (C21)</t>
  </si>
  <si>
    <t xml:space="preserve">Cf - Produktion nicht metallischer Mineralstoffe (C23)</t>
  </si>
  <si>
    <t xml:space="preserve">Cf-Prodotti non metallici e minerali (C23)</t>
  </si>
  <si>
    <t xml:space="preserve">Cf - Production of non-metallic minerals (C23)</t>
  </si>
  <si>
    <t xml:space="preserve">Cf – Fabricación de otros productos minerales no metálicos (C23)</t>
  </si>
  <si>
    <t xml:space="preserve">Cg - Produktion von Metallen und metallischen Produkten (exkl. Maschinen und Geräten) (C24,C25)</t>
  </si>
  <si>
    <t xml:space="preserve">Cg-Prodotti di metalli</t>
  </si>
  <si>
    <t xml:space="preserve">Cg - Production of metal and metallic products (excl. machines and equipment) (C24, C25)</t>
  </si>
  <si>
    <t xml:space="preserve">Cg – Metalurgia; fabricación de productos de hierro, acero y ferroaleaciones; fabricación de productos metálicos, excepto maquinaria (C24, C25)</t>
  </si>
  <si>
    <t xml:space="preserve">Ch - Produktion von elektronischen, optischen und sonstigen Geräten und Bauteilen sowie Computer (C26,C27,C28)</t>
  </si>
  <si>
    <t xml:space="preserve">Ch-Prodotti elettronici ed elettrici (C26,C27,C28)</t>
  </si>
  <si>
    <t xml:space="preserve">Ch - Production of electronic equipment, instruments and components as well as computers (C26, C27, C28)</t>
  </si>
  <si>
    <t xml:space="preserve">Ch – Fabricación de productos informáticos, electrónicos y ópticos; fabricación de material y equipo eléctrico; fabricación de maquinaria y equipo (C26, C27, C28)</t>
  </si>
  <si>
    <t xml:space="preserve">D - Strom-, Gas-, Dampfversorgung und Kühlung </t>
  </si>
  <si>
    <t xml:space="preserve">D-FORNITURA DI ENERGIA ELETTRICA, GAS, VAPORE E ARIA CONDIZIONATA</t>
  </si>
  <si>
    <t xml:space="preserve">D - Electric, Gas, Steam and Refrigeration</t>
  </si>
  <si>
    <t xml:space="preserve">D – Suministro de electricidad, gas, vapor y aire acondicionado</t>
  </si>
  <si>
    <t xml:space="preserve">E - Wasserversorgung, Abfallwirtschaft</t>
  </si>
  <si>
    <t xml:space="preserve">E-FORNITURA DI ACQUA; RETI FOGNARIE, ATTIVITÀ DI TRATTAMENTO DEI RIFIUTI E RISANAMENTO</t>
  </si>
  <si>
    <t xml:space="preserve">E - Water supply, waste management</t>
  </si>
  <si>
    <t xml:space="preserve">E – Suministro de agua, alcantarillado, gestión de desechos y actividades de saneamiento</t>
  </si>
  <si>
    <t xml:space="preserve">F - Baugewerbe</t>
  </si>
  <si>
    <t xml:space="preserve">F-Costruzioni</t>
  </si>
  <si>
    <t xml:space="preserve">F - Construction industry</t>
  </si>
  <si>
    <t xml:space="preserve">F – Construcción</t>
  </si>
  <si>
    <t xml:space="preserve">G - Groß- und Einzelhandel sowie Werkstätten für Kraftfahrzeuge (Anmerkung: Groß- und Einzelhandel nicht auf KFZ beschränkt)</t>
  </si>
  <si>
    <t xml:space="preserve">G-Commercio all'ingrosso e al dettaglio, officine</t>
  </si>
  <si>
    <t xml:space="preserve">G - Wholesale and retail</t>
  </si>
  <si>
    <t xml:space="preserve">G – Comercio al por mayor y al por menor, reparación de los vehículos de motor y de las motocicletas</t>
  </si>
  <si>
    <t xml:space="preserve">H - Verkehr und Lagerhaltung</t>
  </si>
  <si>
    <t xml:space="preserve">H-TRASPORTO E MAGAZZINAGGIO</t>
  </si>
  <si>
    <t xml:space="preserve">H - Transport and warehousing</t>
  </si>
  <si>
    <t xml:space="preserve">H – Transporte y almacenamiento</t>
  </si>
  <si>
    <t xml:space="preserve">I - Beherbergung und Gastronomie</t>
  </si>
  <si>
    <t xml:space="preserve">I-SERVIZI DI ALLOGGIO E DI RISTORAZIONE</t>
  </si>
  <si>
    <t xml:space="preserve">I - Accommodation and catering</t>
  </si>
  <si>
    <t xml:space="preserve">I – Alojamiento y servicios de comida</t>
  </si>
  <si>
    <t xml:space="preserve">J - Information und Kommunikation</t>
  </si>
  <si>
    <t xml:space="preserve">J-SERVIZI DI INFORMAZIONE E COMUNICAZIONE</t>
  </si>
  <si>
    <t xml:space="preserve">J - Information and Communication</t>
  </si>
  <si>
    <t xml:space="preserve">J – Información y comunicación</t>
  </si>
  <si>
    <t xml:space="preserve">K - Kredit- und Finanzwesen</t>
  </si>
  <si>
    <t xml:space="preserve">K-ATTIVITÀ FINANZIARIE E ASSICURATIVE</t>
  </si>
  <si>
    <t xml:space="preserve">K - Financial services</t>
  </si>
  <si>
    <t xml:space="preserve">K – Actividades financieras y de seguros</t>
  </si>
  <si>
    <t xml:space="preserve">L - (Immobilienwirtschaft</t>
  </si>
  <si>
    <t xml:space="preserve">L-ATTIVITÀ IMMOBILIARI</t>
  </si>
  <si>
    <t xml:space="preserve">L - Real estate</t>
  </si>
  <si>
    <t xml:space="preserve">L – Actividades inmobiliarias</t>
  </si>
  <si>
    <t xml:space="preserve">M - Freiberufliche, wissenschaftliche und technische Dienstleistungen</t>
  </si>
  <si>
    <t xml:space="preserve">M-ATTIVITÀ PROFESSIONALI, SCIENTIFICHE E TECNICHE</t>
  </si>
  <si>
    <t xml:space="preserve">M - Professional, technical and scientific services</t>
  </si>
  <si>
    <t xml:space="preserve">M – Actividades profesionales, científicas y técnicas</t>
  </si>
  <si>
    <t xml:space="preserve">N - Administrative und unterstützende Dienstleistungen</t>
  </si>
  <si>
    <t xml:space="preserve">N-ATTIVITÀ AMMINISTRATIVE E DI SERVIZI DI SUPPORTO</t>
  </si>
  <si>
    <t xml:space="preserve">N - Administrative and support services</t>
  </si>
  <si>
    <t xml:space="preserve">N – Actividades administrativas y servicios de apoyo</t>
  </si>
  <si>
    <t xml:space="preserve">O - Öffentliche Verwaltung; Verteidigung; Sozialversicherungswesen</t>
  </si>
  <si>
    <t xml:space="preserve">O-AMMINISTRAZIONE PUBBLICA E DIFESA; ASSICURAZIONE SOCIALE OBBLIGATORIA</t>
  </si>
  <si>
    <t xml:space="preserve">O - Public administration; defence; social security</t>
  </si>
  <si>
    <t xml:space="preserve">O – Administración pública y defensa, planes de seguridad social de afiliación obligatoria</t>
  </si>
  <si>
    <t xml:space="preserve">P - Bildung</t>
  </si>
  <si>
    <t xml:space="preserve">P-ISTRUZIONE</t>
  </si>
  <si>
    <t xml:space="preserve">P - Education</t>
  </si>
  <si>
    <t xml:space="preserve">P – Enseñanza</t>
  </si>
  <si>
    <t xml:space="preserve">Q - Gesundheit und Sozialarbeit</t>
  </si>
  <si>
    <t xml:space="preserve">Q-SANITÀ E ASSISTENZA SOCIALE</t>
  </si>
  <si>
    <t xml:space="preserve">Q - Health and social work</t>
  </si>
  <si>
    <t xml:space="preserve">Q – Servicios sociales y relacionados con la salud humana</t>
  </si>
  <si>
    <t xml:space="preserve">R - Kunst, Unterhaltung und Erholung</t>
  </si>
  <si>
    <t xml:space="preserve">R-ATTIVITA' ARTISTICHE, DI INTRATTENIMENTO E DIVERTIMENTO</t>
  </si>
  <si>
    <t xml:space="preserve">R - Art, education and leisure</t>
  </si>
  <si>
    <t xml:space="preserve">R – Artes, entretenimiento y recreación</t>
  </si>
  <si>
    <t xml:space="preserve">S - Andere Dienstleistungen</t>
  </si>
  <si>
    <t xml:space="preserve">S-ALTRE ATTIVITÀ DI SERVIZI</t>
  </si>
  <si>
    <t xml:space="preserve">S - Other services</t>
  </si>
  <si>
    <t xml:space="preserve">S – Otras actividades de servicio</t>
  </si>
  <si>
    <t xml:space="preserve">T - Private Haushalte</t>
  </si>
  <si>
    <t xml:space="preserve">T-convivenze, comunità famigliari e persone singole, condimini, amministratori di condomini</t>
  </si>
  <si>
    <t xml:space="preserve">T – Actividades de los hogares en calidad de empleadores, actividades indiferenciadas de producción de bienes y servicios de los hogares para uso propio</t>
  </si>
  <si>
    <t xml:space="preserve">U - Exterritoriale Organisationen und Körperschaften</t>
  </si>
  <si>
    <t xml:space="preserve">U-ATTIVITÀ DI ORGANIZZAZIONI E ORGANISMI EXTRATERRITORIALI </t>
  </si>
  <si>
    <t xml:space="preserve">U - Extraterritorial organisations and bodies</t>
  </si>
  <si>
    <t xml:space="preserve">U – Actividades de organizaciones y órganos extraterritoriales</t>
  </si>
  <si>
    <t xml:space="preserve">Gesamt-Ausgaben an Lieferanten (in Euro):</t>
  </si>
  <si>
    <t xml:space="preserve">Spese totali per i fornitori (in euro):</t>
  </si>
  <si>
    <t xml:space="preserve">Total purchases from suppliers (in Euros):</t>
  </si>
  <si>
    <t xml:space="preserve">Gastos totales en proveedores (en Euros):</t>
  </si>
  <si>
    <t xml:space="preserve">Tragen Sie nachstehend, bitte die 5 wichtigstenBranchen ein, aus denen Sie Produkte/Dienstleistungen beziehen. </t>
  </si>
  <si>
    <t xml:space="preserve">Inserisci sotto i 5 settori più importanti da cui acquisti prodotti / servizi.</t>
  </si>
  <si>
    <t xml:space="preserve">Enter the 5 most important industry sectors whose products or services you use.</t>
  </si>
  <si>
    <t xml:space="preserve">Introduzca los 5 secoters más importantes a los que realiza compras</t>
  </si>
  <si>
    <t xml:space="preserve">Branche</t>
  </si>
  <si>
    <t xml:space="preserve">Settore</t>
  </si>
  <si>
    <t xml:space="preserve">Industry sector</t>
  </si>
  <si>
    <t xml:space="preserve">Sector</t>
  </si>
  <si>
    <t xml:space="preserve">Beschreibung</t>
  </si>
  <si>
    <t xml:space="preserve">Description</t>
  </si>
  <si>
    <t xml:space="preserve">Descripción</t>
  </si>
  <si>
    <t xml:space="preserve">regionale Herkunft</t>
  </si>
  <si>
    <t xml:space="preserve">Provenienza regionale</t>
  </si>
  <si>
    <t xml:space="preserve">Region of origin</t>
  </si>
  <si>
    <t xml:space="preserve">Región de origen</t>
  </si>
  <si>
    <t xml:space="preserve">Ausgaben</t>
  </si>
  <si>
    <t xml:space="preserve">Spese</t>
  </si>
  <si>
    <t xml:space="preserve">Costs</t>
  </si>
  <si>
    <t xml:space="preserve">Gastos</t>
  </si>
  <si>
    <t xml:space="preserve">Überwiegende Herkunft restlicher Lieferanten</t>
  </si>
  <si>
    <t xml:space="preserve">Provenienza principale degli altri fornitori</t>
  </si>
  <si>
    <t xml:space="preserve">Main origin of the other suppliers</t>
  </si>
  <si>
    <t xml:space="preserve">Región de origen principal del resto de proveedores</t>
  </si>
  <si>
    <t xml:space="preserve">Gewinn (EBIT):</t>
  </si>
  <si>
    <t xml:space="preserve">Profitto (EBIT):</t>
  </si>
  <si>
    <t xml:space="preserve">Profit</t>
  </si>
  <si>
    <t xml:space="preserve">Beneficios (EBIT)</t>
  </si>
  <si>
    <t xml:space="preserve">Finanzierungskosten</t>
  </si>
  <si>
    <t xml:space="preserve">oneri finanziari</t>
  </si>
  <si>
    <t xml:space="preserve">Financing costs</t>
  </si>
  <si>
    <t xml:space="preserve">Costes financieros</t>
  </si>
  <si>
    <t xml:space="preserve">Erträge aus Finanzanlagen</t>
  </si>
  <si>
    <t xml:space="preserve">Proventi da attività finanziarie</t>
  </si>
  <si>
    <t xml:space="preserve">Income from financial investments</t>
  </si>
  <si>
    <t xml:space="preserve">Ingresos financieros</t>
  </si>
  <si>
    <t xml:space="preserve">Bilanzaktiva</t>
  </si>
  <si>
    <t xml:space="preserve">attività stato patrimoniale</t>
  </si>
  <si>
    <t xml:space="preserve">Total assets</t>
  </si>
  <si>
    <t xml:space="preserve">Activo (balance financiero)</t>
  </si>
  <si>
    <t xml:space="preserve">Zugänge zum Anlagevermögen </t>
  </si>
  <si>
    <t xml:space="preserve">Aggiunte alle immobilizzazioni</t>
  </si>
  <si>
    <t xml:space="preserve">Additions to fixed-assets</t>
  </si>
  <si>
    <t xml:space="preserve">Altas de activos fijos</t>
  </si>
  <si>
    <t xml:space="preserve">Finanzanlagen und Barguthaben</t>
  </si>
  <si>
    <t xml:space="preserve">Attività finanziarie e saldo di cassa</t>
  </si>
  <si>
    <t xml:space="preserve">Financial assets and cash balance</t>
  </si>
  <si>
    <t xml:space="preserve">Activos financieros y saldos de caja</t>
  </si>
  <si>
    <t xml:space="preserve">Anzahl der Mitarbeitenden (in Vollzeitäquivalenten): </t>
  </si>
  <si>
    <t xml:space="preserve">Numero di collaboratori (in equivalenti a tempo pieno):</t>
  </si>
  <si>
    <t xml:space="preserve">Number of employees (full time equivalents)</t>
  </si>
  <si>
    <t xml:space="preserve">Cantidad de trabajadores (equivalentes a jornada completa)</t>
  </si>
  <si>
    <t xml:space="preserve">Personalkosten (brutto ohne Dienstgeberanteil)</t>
  </si>
  <si>
    <t xml:space="preserve">Costi del personale (lordi senza contributo del datore di lavoro)</t>
  </si>
  <si>
    <t xml:space="preserve">Staff costs (gross without employer contribution)</t>
  </si>
  <si>
    <t xml:space="preserve">Gastos de personal</t>
  </si>
  <si>
    <t xml:space="preserve">Tragen Sie bitte nachstehend jene drei Länder und Regionen ein, wo die meisten Mitarbeitenden arbeiten</t>
  </si>
  <si>
    <t xml:space="preserve">Inserisca sotto i tre paesi e le regioni in cui lavora la maggior parte dei collaboratori</t>
  </si>
  <si>
    <t xml:space="preserve">Enter the 3 countries and regions where most of the staff are</t>
  </si>
  <si>
    <t xml:space="preserve">Introduzca los 3 países y regiones de los que la mayoría de trabajadores provienen</t>
  </si>
  <si>
    <t xml:space="preserve">Land &amp; Region</t>
  </si>
  <si>
    <t xml:space="preserve">Paese e Regione</t>
  </si>
  <si>
    <t xml:space="preserve">Country and region</t>
  </si>
  <si>
    <t xml:space="preserve">País y región</t>
  </si>
  <si>
    <t xml:space="preserve">Anteil in % </t>
  </si>
  <si>
    <t xml:space="preserve">Percentulale %</t>
  </si>
  <si>
    <t xml:space="preserve">Amount in %</t>
  </si>
  <si>
    <t xml:space="preserve">Porcentaje %</t>
  </si>
  <si>
    <t xml:space="preserve">Durchschnittlicher Arbeitsweg der Mitarbeitenden (in km):</t>
  </si>
  <si>
    <t xml:space="preserve">Distanza media al posto di lavoro dei collaboratori (in km):</t>
  </si>
  <si>
    <t xml:space="preserve">Average journey to work for staff (in km)</t>
  </si>
  <si>
    <t xml:space="preserve">Trayecto medio de los trabajadores a su lugar de trabajo (km):</t>
  </si>
  <si>
    <t xml:space="preserve">Gibt es eine Kantine für die Mehrheit der Mitarbeitenden?</t>
  </si>
  <si>
    <t xml:space="preserve">C'è una mensa per la maggior parte dei collaboratori?</t>
  </si>
  <si>
    <t xml:space="preserve">Is there a canteen for the majority of staff?</t>
  </si>
  <si>
    <t xml:space="preserve">¿Hay cantina para la mayoría de los trabajadores?</t>
  </si>
  <si>
    <t xml:space="preserve">Umsatz (in Euro)</t>
  </si>
  <si>
    <t xml:space="preserve">fatturato (in euro)</t>
  </si>
  <si>
    <t xml:space="preserve">Turnover (in Euros)</t>
  </si>
  <si>
    <t xml:space="preserve">Facturación (en euros)</t>
  </si>
  <si>
    <t xml:space="preserve">Haben Sie nahezu ausschließlich Unternehmen als Kunden</t>
  </si>
  <si>
    <t xml:space="preserve">Ha aziende quasi esclusivamente come clienti?</t>
  </si>
  <si>
    <t xml:space="preserve">Are your customers mainly other companies?</t>
  </si>
  <si>
    <t xml:space="preserve">¿Sus clientes son en su mayoría empresas?</t>
  </si>
  <si>
    <t xml:space="preserve">Tragen Sie nachstehend, bitte die 3 wichtigsten Branchen ein, in denen Ihr Unternehmen tätig ist, inklusive ungefährem Umsatzanteil</t>
  </si>
  <si>
    <t xml:space="preserve">Di seguito, descriva i 3 settori più importanti in cui opera la Sua azienda, inclusa la quota di fatturato approssimativa</t>
  </si>
  <si>
    <t xml:space="preserve">Enter the 3 most important industry sectors which your company is active in, including a rough share of turnover</t>
  </si>
  <si>
    <t xml:space="preserve">Introduzca los 3 sectores más importantes en los que opera su empresa incluyendo la facturación aprox. correspondiente</t>
  </si>
  <si>
    <t xml:space="preserve">descrizione</t>
  </si>
  <si>
    <t xml:space="preserve">% Anteil am Gesamtumsatz</t>
  </si>
  <si>
    <t xml:space="preserve">Quota % al fatturato</t>
  </si>
  <si>
    <t xml:space="preserve">% Amount of total turnover</t>
  </si>
  <si>
    <t xml:space="preserve">% sobre la facturación total</t>
  </si>
  <si>
    <t xml:space="preserve">Unternehmensgrösse </t>
  </si>
  <si>
    <t xml:space="preserve">dimensioni dell'azienda</t>
  </si>
  <si>
    <t xml:space="preserve">Company size</t>
  </si>
  <si>
    <t xml:space="preserve">Tamaño de la empresa</t>
  </si>
  <si>
    <t xml:space="preserve">Kleinstunternehmen</t>
  </si>
  <si>
    <t xml:space="preserve">microimpresa</t>
  </si>
  <si>
    <t xml:space="preserve">Micro-business</t>
  </si>
  <si>
    <t xml:space="preserve">Microempresa</t>
  </si>
  <si>
    <t xml:space="preserve">Kleinunternehmen</t>
  </si>
  <si>
    <t xml:space="preserve">Piccola impresa</t>
  </si>
  <si>
    <t xml:space="preserve">Small business</t>
  </si>
  <si>
    <t xml:space="preserve">Pequeña empresa</t>
  </si>
  <si>
    <t xml:space="preserve">Mittleres Unternehmen</t>
  </si>
  <si>
    <t xml:space="preserve">Impresa media</t>
  </si>
  <si>
    <t xml:space="preserve">Medium business</t>
  </si>
  <si>
    <t xml:space="preserve">Mediana empresa</t>
  </si>
  <si>
    <t xml:space="preserve">Grossunternehmen</t>
  </si>
  <si>
    <t xml:space="preserve">Grande impresa</t>
  </si>
  <si>
    <t xml:space="preserve">Large business</t>
  </si>
  <si>
    <t xml:space="preserve">Gran empresa</t>
  </si>
  <si>
    <t xml:space="preserve">In diesem Tabellenblatt wird die Gemeinwohlbilanz berechnet. </t>
  </si>
  <si>
    <t xml:space="preserve">In questo foglio viene calcolato il punteggio del bilancio del bene comune.</t>
  </si>
  <si>
    <t xml:space="preserve">Introduzca descripción de la tabla: en esta hoja se calcula la puntuación del balance del Bien Común.</t>
  </si>
  <si>
    <t xml:space="preserve">Skalenwert eingeben: Wert muss im Bereich von 0 bis 10 liegen.</t>
  </si>
  <si>
    <t xml:space="preserve">Inserisca un valore di scala da 0 a 10 </t>
  </si>
  <si>
    <t xml:space="preserve">Introduce value between 0 and 10</t>
  </si>
  <si>
    <t xml:space="preserve">Introduzca puntuación. El valor debe encontrarse entre 0 y 10.</t>
  </si>
  <si>
    <t xml:space="preserve">Negativpunkte eingeben: Werte müssen im Bereich von -200 bis 0 liegen.</t>
  </si>
  <si>
    <t xml:space="preserve">Inserisca un punteggio negativo da 0 a -200 </t>
  </si>
  <si>
    <t xml:space="preserve">Introduce negative points between 0 and -200</t>
  </si>
  <si>
    <t xml:space="preserve">Introduzca puntuación negativa. El valor debe encontrarse entre -200 y 0.</t>
  </si>
  <si>
    <t xml:space="preserve">globaler Durchschnitt</t>
  </si>
  <si>
    <t xml:space="preserve">media globale</t>
  </si>
  <si>
    <t xml:space="preserve">Media global</t>
  </si>
  <si>
    <t xml:space="preserve">Bitte auswählen</t>
  </si>
  <si>
    <t xml:space="preserve">Seleccione el país</t>
  </si>
  <si>
    <t xml:space="preserve">Afrika</t>
  </si>
  <si>
    <t xml:space="preserve">África</t>
  </si>
  <si>
    <t xml:space="preserve">Nord-Afrika und Mittlere Osten</t>
  </si>
  <si>
    <t xml:space="preserve">Nord-Africa e Medio Oriente</t>
  </si>
  <si>
    <t xml:space="preserve">Norte de África y Oriente Medio</t>
  </si>
  <si>
    <t xml:space="preserve">Latein-Amerika</t>
  </si>
  <si>
    <t xml:space="preserve">Latino-America</t>
  </si>
  <si>
    <t xml:space="preserve">Latinoamérica</t>
  </si>
  <si>
    <t xml:space="preserve">Nord-Amerika &amp; Ozeanien</t>
  </si>
  <si>
    <t xml:space="preserve">Nord-America e Ozeania</t>
  </si>
  <si>
    <t xml:space="preserve">Norteamérica y Oceanía</t>
  </si>
  <si>
    <t xml:space="preserve">Asien</t>
  </si>
  <si>
    <t xml:space="preserve">Europa</t>
  </si>
  <si>
    <t xml:space="preserve">.aw</t>
  </si>
  <si>
    <t xml:space="preserve">AW</t>
  </si>
  <si>
    <t xml:space="preserve">Aruba </t>
  </si>
  <si>
    <t xml:space="preserve">.af</t>
  </si>
  <si>
    <t xml:space="preserve">AF</t>
  </si>
  <si>
    <t xml:space="preserve">Afghanistan </t>
  </si>
  <si>
    <t xml:space="preserve">Afganistán</t>
  </si>
  <si>
    <t xml:space="preserve">.ao</t>
  </si>
  <si>
    <t xml:space="preserve">AO</t>
  </si>
  <si>
    <t xml:space="preserve">Angola </t>
  </si>
  <si>
    <t xml:space="preserve">.al</t>
  </si>
  <si>
    <t xml:space="preserve">AL</t>
  </si>
  <si>
    <t xml:space="preserve">Albanien</t>
  </si>
  <si>
    <t xml:space="preserve">Albania </t>
  </si>
  <si>
    <t xml:space="preserve">Albanie</t>
  </si>
  <si>
    <t xml:space="preserve">.ad</t>
  </si>
  <si>
    <t xml:space="preserve">AD</t>
  </si>
  <si>
    <t xml:space="preserve">Andorra </t>
  </si>
  <si>
    <t xml:space="preserve">Andorre</t>
  </si>
  <si>
    <t xml:space="preserve">.ae</t>
  </si>
  <si>
    <t xml:space="preserve">AE</t>
  </si>
  <si>
    <t xml:space="preserve">Vereinigte Arabische Emirate</t>
  </si>
  <si>
    <t xml:space="preserve">Emirati Arabi Uniti </t>
  </si>
  <si>
    <t xml:space="preserve">United Arab Emirates </t>
  </si>
  <si>
    <t xml:space="preserve">Emiratos Árabes Unidos</t>
  </si>
  <si>
    <t xml:space="preserve">Émirats Arabes Unis</t>
  </si>
  <si>
    <t xml:space="preserve">.ar</t>
  </si>
  <si>
    <t xml:space="preserve">AR</t>
  </si>
  <si>
    <t xml:space="preserve">Argentinien</t>
  </si>
  <si>
    <t xml:space="preserve">Argentina </t>
  </si>
  <si>
    <t xml:space="preserve">Argentine</t>
  </si>
  <si>
    <t xml:space="preserve">.am</t>
  </si>
  <si>
    <t xml:space="preserve">AM</t>
  </si>
  <si>
    <t xml:space="preserve">Armenien</t>
  </si>
  <si>
    <t xml:space="preserve">Armenia </t>
  </si>
  <si>
    <t xml:space="preserve">Arménie</t>
  </si>
  <si>
    <t xml:space="preserve">.as</t>
  </si>
  <si>
    <t xml:space="preserve">AS</t>
  </si>
  <si>
    <t xml:space="preserve">Amerikanisch-Samoa</t>
  </si>
  <si>
    <t xml:space="preserve">Samoa americane </t>
  </si>
  <si>
    <t xml:space="preserve">American Samoa </t>
  </si>
  <si>
    <t xml:space="preserve">Samoa Americana</t>
  </si>
  <si>
    <t xml:space="preserve">Samoa américaines</t>
  </si>
  <si>
    <t xml:space="preserve">.ag</t>
  </si>
  <si>
    <t xml:space="preserve">AG</t>
  </si>
  <si>
    <t xml:space="preserve">Antigua und Barbuda</t>
  </si>
  <si>
    <t xml:space="preserve">Antigua e Barbuda </t>
  </si>
  <si>
    <t xml:space="preserve">Antigua and Barbuda </t>
  </si>
  <si>
    <t xml:space="preserve">Antigua y Barbuda</t>
  </si>
  <si>
    <t xml:space="preserve">Antigua-et-Barbuda</t>
  </si>
  <si>
    <t xml:space="preserve">.au</t>
  </si>
  <si>
    <t xml:space="preserve">AU</t>
  </si>
  <si>
    <t xml:space="preserve">Australien</t>
  </si>
  <si>
    <t xml:space="preserve">Australia </t>
  </si>
  <si>
    <t xml:space="preserve">Australie</t>
  </si>
  <si>
    <t xml:space="preserve">.at</t>
  </si>
  <si>
    <t xml:space="preserve">AT</t>
  </si>
  <si>
    <t xml:space="preserve">Österreich</t>
  </si>
  <si>
    <t xml:space="preserve">Austria </t>
  </si>
  <si>
    <t xml:space="preserve">Autriche</t>
  </si>
  <si>
    <t xml:space="preserve">.az</t>
  </si>
  <si>
    <t xml:space="preserve">AZ</t>
  </si>
  <si>
    <t xml:space="preserve">Aserbaidschan</t>
  </si>
  <si>
    <t xml:space="preserve">Azerbaigian </t>
  </si>
  <si>
    <t xml:space="preserve">Azerbaijan </t>
  </si>
  <si>
    <t xml:space="preserve">Azerbaiyán</t>
  </si>
  <si>
    <t xml:space="preserve">Azerbaïdjan</t>
  </si>
  <si>
    <t xml:space="preserve">.bi</t>
  </si>
  <si>
    <t xml:space="preserve">BI</t>
  </si>
  <si>
    <t xml:space="preserve">Burundi </t>
  </si>
  <si>
    <t xml:space="preserve">.be</t>
  </si>
  <si>
    <t xml:space="preserve">BE</t>
  </si>
  <si>
    <t xml:space="preserve">Belgien</t>
  </si>
  <si>
    <t xml:space="preserve">Belgio </t>
  </si>
  <si>
    <t xml:space="preserve">Belgium </t>
  </si>
  <si>
    <t xml:space="preserve">Bélgica</t>
  </si>
  <si>
    <t xml:space="preserve">Belgique</t>
  </si>
  <si>
    <t xml:space="preserve">.bj</t>
  </si>
  <si>
    <t xml:space="preserve">BJ</t>
  </si>
  <si>
    <t xml:space="preserve">Benin </t>
  </si>
  <si>
    <t xml:space="preserve">Benín</t>
  </si>
  <si>
    <t xml:space="preserve">Bénin</t>
  </si>
  <si>
    <t xml:space="preserve">.bf</t>
  </si>
  <si>
    <t xml:space="preserve">BF</t>
  </si>
  <si>
    <t xml:space="preserve">Burkina Faso </t>
  </si>
  <si>
    <t xml:space="preserve">.bd</t>
  </si>
  <si>
    <t xml:space="preserve">BD</t>
  </si>
  <si>
    <t xml:space="preserve">Bangladesch</t>
  </si>
  <si>
    <t xml:space="preserve">Bangladesh </t>
  </si>
  <si>
    <t xml:space="preserve">Bangladés</t>
  </si>
  <si>
    <t xml:space="preserve">.bg</t>
  </si>
  <si>
    <t xml:space="preserve">BG</t>
  </si>
  <si>
    <t xml:space="preserve">Bulgarien</t>
  </si>
  <si>
    <t xml:space="preserve">Bulgaria </t>
  </si>
  <si>
    <t xml:space="preserve">Bulgarie</t>
  </si>
  <si>
    <t xml:space="preserve">.bh</t>
  </si>
  <si>
    <t xml:space="preserve">BH</t>
  </si>
  <si>
    <t xml:space="preserve">Bahrain </t>
  </si>
  <si>
    <t xml:space="preserve">Baréin</t>
  </si>
  <si>
    <t xml:space="preserve">Bahreïn</t>
  </si>
  <si>
    <t xml:space="preserve">.bs</t>
  </si>
  <si>
    <t xml:space="preserve">BS</t>
  </si>
  <si>
    <t xml:space="preserve">Bahamas</t>
  </si>
  <si>
    <t xml:space="preserve">Bahamas </t>
  </si>
  <si>
    <t xml:space="preserve">.ba</t>
  </si>
  <si>
    <t xml:space="preserve">BA</t>
  </si>
  <si>
    <t xml:space="preserve">Bosnien und Herzegowina</t>
  </si>
  <si>
    <t xml:space="preserve">Bosnia ed Erzegovina </t>
  </si>
  <si>
    <t xml:space="preserve">Bosnia and Herzegovina </t>
  </si>
  <si>
    <t xml:space="preserve">Bosnia y Herzegovina</t>
  </si>
  <si>
    <t xml:space="preserve">Bosnie-Herzégovine</t>
  </si>
  <si>
    <t xml:space="preserve">.by</t>
  </si>
  <si>
    <t xml:space="preserve">BY</t>
  </si>
  <si>
    <t xml:space="preserve">Bielorussia </t>
  </si>
  <si>
    <t xml:space="preserve">Belarus </t>
  </si>
  <si>
    <t xml:space="preserve">Bielorrusia</t>
  </si>
  <si>
    <t xml:space="preserve">Biélorussie</t>
  </si>
  <si>
    <t xml:space="preserve">.bz</t>
  </si>
  <si>
    <t xml:space="preserve">BZ</t>
  </si>
  <si>
    <t xml:space="preserve">Belize </t>
  </si>
  <si>
    <t xml:space="preserve">Belice</t>
  </si>
  <si>
    <t xml:space="preserve">.bm</t>
  </si>
  <si>
    <t xml:space="preserve">BM</t>
  </si>
  <si>
    <t xml:space="preserve">Bermuda </t>
  </si>
  <si>
    <t xml:space="preserve">Bermudas</t>
  </si>
  <si>
    <t xml:space="preserve">Bermudes</t>
  </si>
  <si>
    <t xml:space="preserve">.bo</t>
  </si>
  <si>
    <t xml:space="preserve">BO</t>
  </si>
  <si>
    <t xml:space="preserve">Bolivien</t>
  </si>
  <si>
    <t xml:space="preserve">Bolivia </t>
  </si>
  <si>
    <t xml:space="preserve">Bolivia, Plurinational State of </t>
  </si>
  <si>
    <t xml:space="preserve">Bolivie</t>
  </si>
  <si>
    <t xml:space="preserve">.br</t>
  </si>
  <si>
    <t xml:space="preserve">BR</t>
  </si>
  <si>
    <t xml:space="preserve">Brasilien</t>
  </si>
  <si>
    <t xml:space="preserve">Brasile </t>
  </si>
  <si>
    <t xml:space="preserve">Brazil </t>
  </si>
  <si>
    <t xml:space="preserve">Brasil</t>
  </si>
  <si>
    <t xml:space="preserve">Brésil</t>
  </si>
  <si>
    <t xml:space="preserve">.bb</t>
  </si>
  <si>
    <t xml:space="preserve">BB</t>
  </si>
  <si>
    <t xml:space="preserve">Barbados </t>
  </si>
  <si>
    <t xml:space="preserve">Barbades</t>
  </si>
  <si>
    <t xml:space="preserve">.bn</t>
  </si>
  <si>
    <t xml:space="preserve">BN</t>
  </si>
  <si>
    <t xml:space="preserve">Brunei </t>
  </si>
  <si>
    <t xml:space="preserve">Brunei Darussalam </t>
  </si>
  <si>
    <t xml:space="preserve">Brunéi</t>
  </si>
  <si>
    <t xml:space="preserve">Brunei</t>
  </si>
  <si>
    <t xml:space="preserve">.bt</t>
  </si>
  <si>
    <t xml:space="preserve">BT</t>
  </si>
  <si>
    <t xml:space="preserve">Bhutan </t>
  </si>
  <si>
    <t xml:space="preserve">Bután</t>
  </si>
  <si>
    <t xml:space="preserve">Bhoutan</t>
  </si>
  <si>
    <t xml:space="preserve">.bw</t>
  </si>
  <si>
    <t xml:space="preserve">BW</t>
  </si>
  <si>
    <t xml:space="preserve">Botswana </t>
  </si>
  <si>
    <t xml:space="preserve">Botsuana</t>
  </si>
  <si>
    <t xml:space="preserve">.cf</t>
  </si>
  <si>
    <t xml:space="preserve">CF</t>
  </si>
  <si>
    <t xml:space="preserve">Zentralafrikanische Republik</t>
  </si>
  <si>
    <t xml:space="preserve">Repubblica Centrafricana </t>
  </si>
  <si>
    <t xml:space="preserve">Central African Republic </t>
  </si>
  <si>
    <t xml:space="preserve">República Centroafricana</t>
  </si>
  <si>
    <t xml:space="preserve">République centrafricaine</t>
  </si>
  <si>
    <t xml:space="preserve">.ca</t>
  </si>
  <si>
    <t xml:space="preserve">CA</t>
  </si>
  <si>
    <t xml:space="preserve">Kanada</t>
  </si>
  <si>
    <t xml:space="preserve">Canada </t>
  </si>
  <si>
    <t xml:space="preserve">Canadá</t>
  </si>
  <si>
    <t xml:space="preserve">.ch</t>
  </si>
  <si>
    <t xml:space="preserve">CH</t>
  </si>
  <si>
    <t xml:space="preserve">Schweiz (Confoederatio Helvetica)</t>
  </si>
  <si>
    <t xml:space="preserve">della Svizzera Svizzera </t>
  </si>
  <si>
    <t xml:space="preserve">Switzerland </t>
  </si>
  <si>
    <t xml:space="preserve">Suiza</t>
  </si>
  <si>
    <t xml:space="preserve">Suisse</t>
  </si>
  <si>
    <t xml:space="preserve">.cl</t>
  </si>
  <si>
    <t xml:space="preserve">CL</t>
  </si>
  <si>
    <t xml:space="preserve">Cile </t>
  </si>
  <si>
    <t xml:space="preserve">Chile </t>
  </si>
  <si>
    <t xml:space="preserve">Chili</t>
  </si>
  <si>
    <t xml:space="preserve">.cn</t>
  </si>
  <si>
    <t xml:space="preserve">CN</t>
  </si>
  <si>
    <t xml:space="preserve">China, Volksrepublik</t>
  </si>
  <si>
    <t xml:space="preserve">Cina </t>
  </si>
  <si>
    <t xml:space="preserve">China </t>
  </si>
  <si>
    <t xml:space="preserve">Chine</t>
  </si>
  <si>
    <t xml:space="preserve">.ci</t>
  </si>
  <si>
    <t xml:space="preserve">CI</t>
  </si>
  <si>
    <t xml:space="preserve">Côte d’Ivoire (Elfenbeinküste)</t>
  </si>
  <si>
    <t xml:space="preserve">Costa d'Avorio </t>
  </si>
  <si>
    <t xml:space="preserve">Côte d'Ivoire </t>
  </si>
  <si>
    <t xml:space="preserve">Costa de Marfil</t>
  </si>
  <si>
    <t xml:space="preserve">Côte-d'Ivoire</t>
  </si>
  <si>
    <t xml:space="preserve">.cm</t>
  </si>
  <si>
    <t xml:space="preserve">CM</t>
  </si>
  <si>
    <t xml:space="preserve">Kamerun</t>
  </si>
  <si>
    <t xml:space="preserve">Camerun </t>
  </si>
  <si>
    <t xml:space="preserve">Cameroon </t>
  </si>
  <si>
    <t xml:space="preserve">Camerún</t>
  </si>
  <si>
    <t xml:space="preserve">Cameroun</t>
  </si>
  <si>
    <t xml:space="preserve">.cd</t>
  </si>
  <si>
    <t xml:space="preserve">CD</t>
  </si>
  <si>
    <t xml:space="preserve">Kongo, Demokratische Republik (ehem. Zaire)</t>
  </si>
  <si>
    <t xml:space="preserve">Repubblica Democratica del Congo </t>
  </si>
  <si>
    <t xml:space="preserve">Congo, the Democratic Republic of the </t>
  </si>
  <si>
    <t xml:space="preserve">Rep. Dem. del Congo</t>
  </si>
  <si>
    <t xml:space="preserve">République démocratique du Congo</t>
  </si>
  <si>
    <t xml:space="preserve">.cg</t>
  </si>
  <si>
    <t xml:space="preserve">CG</t>
  </si>
  <si>
    <t xml:space="preserve">Republik Kongo</t>
  </si>
  <si>
    <t xml:space="preserve">Repubblica del Congo </t>
  </si>
  <si>
    <t xml:space="preserve">Congo </t>
  </si>
  <si>
    <t xml:space="preserve">República del Congo</t>
  </si>
  <si>
    <t xml:space="preserve">République du Congo</t>
  </si>
  <si>
    <t xml:space="preserve">.co</t>
  </si>
  <si>
    <t xml:space="preserve">CO</t>
  </si>
  <si>
    <t xml:space="preserve">Kolumbien</t>
  </si>
  <si>
    <t xml:space="preserve">Colombia </t>
  </si>
  <si>
    <t xml:space="preserve">Colombie</t>
  </si>
  <si>
    <t xml:space="preserve">.km</t>
  </si>
  <si>
    <t xml:space="preserve">KM</t>
  </si>
  <si>
    <t xml:space="preserve">Komoren</t>
  </si>
  <si>
    <t xml:space="preserve">Comore </t>
  </si>
  <si>
    <t xml:space="preserve">Comoros </t>
  </si>
  <si>
    <t xml:space="preserve">Comoras</t>
  </si>
  <si>
    <t xml:space="preserve">Comores</t>
  </si>
  <si>
    <t xml:space="preserve">.cv</t>
  </si>
  <si>
    <t xml:space="preserve">CV</t>
  </si>
  <si>
    <t xml:space="preserve">Kap Verde</t>
  </si>
  <si>
    <t xml:space="preserve">Capo Verde </t>
  </si>
  <si>
    <t xml:space="preserve">Cape Verde </t>
  </si>
  <si>
    <t xml:space="preserve">Cap vert</t>
  </si>
  <si>
    <t xml:space="preserve">.cr</t>
  </si>
  <si>
    <t xml:space="preserve">CR</t>
  </si>
  <si>
    <t xml:space="preserve">Costa Rica </t>
  </si>
  <si>
    <t xml:space="preserve">.cu</t>
  </si>
  <si>
    <t xml:space="preserve">CU</t>
  </si>
  <si>
    <t xml:space="preserve">Kuba</t>
  </si>
  <si>
    <t xml:space="preserve">Cuba </t>
  </si>
  <si>
    <t xml:space="preserve">.cw</t>
  </si>
  <si>
    <t xml:space="preserve">CW</t>
  </si>
  <si>
    <t xml:space="preserve">Curaçao</t>
  </si>
  <si>
    <t xml:space="preserve">Curaçao </t>
  </si>
  <si>
    <t xml:space="preserve">Curazao</t>
  </si>
  <si>
    <t xml:space="preserve">.ky</t>
  </si>
  <si>
    <t xml:space="preserve">KY</t>
  </si>
  <si>
    <t xml:space="preserve">Kaimaninseln</t>
  </si>
  <si>
    <t xml:space="preserve">Isole Cayman </t>
  </si>
  <si>
    <t xml:space="preserve">Cayman Islands </t>
  </si>
  <si>
    <t xml:space="preserve">Islas Caimán</t>
  </si>
  <si>
    <t xml:space="preserve">Îles Caïmans</t>
  </si>
  <si>
    <t xml:space="preserve">.cy</t>
  </si>
  <si>
    <t xml:space="preserve">CY</t>
  </si>
  <si>
    <t xml:space="preserve">Zypern</t>
  </si>
  <si>
    <t xml:space="preserve">Cipro </t>
  </si>
  <si>
    <t xml:space="preserve">Cyprus </t>
  </si>
  <si>
    <t xml:space="preserve">Chipre</t>
  </si>
  <si>
    <t xml:space="preserve">Chypre</t>
  </si>
  <si>
    <t xml:space="preserve">.cz</t>
  </si>
  <si>
    <t xml:space="preserve">CZ</t>
  </si>
  <si>
    <t xml:space="preserve">Tschechische Republik</t>
  </si>
  <si>
    <t xml:space="preserve">Repubblica Ceca </t>
  </si>
  <si>
    <t xml:space="preserve">Czech Republic </t>
  </si>
  <si>
    <t xml:space="preserve">República Checa</t>
  </si>
  <si>
    <t xml:space="preserve">République Tchèque</t>
  </si>
  <si>
    <t xml:space="preserve">.de</t>
  </si>
  <si>
    <t xml:space="preserve">DE</t>
  </si>
  <si>
    <t xml:space="preserve">Deutschland</t>
  </si>
  <si>
    <t xml:space="preserve">Germania </t>
  </si>
  <si>
    <t xml:space="preserve">Germany </t>
  </si>
  <si>
    <t xml:space="preserve">Alemania</t>
  </si>
  <si>
    <t xml:space="preserve">Allemagne</t>
  </si>
  <si>
    <t xml:space="preserve">.dj</t>
  </si>
  <si>
    <t xml:space="preserve">DJ</t>
  </si>
  <si>
    <t xml:space="preserve">Dschibuti</t>
  </si>
  <si>
    <t xml:space="preserve">Gibuti </t>
  </si>
  <si>
    <t xml:space="preserve">Djibouti </t>
  </si>
  <si>
    <t xml:space="preserve">Yibuti</t>
  </si>
  <si>
    <t xml:space="preserve">.dm</t>
  </si>
  <si>
    <t xml:space="preserve">DM</t>
  </si>
  <si>
    <t xml:space="preserve">Dominica </t>
  </si>
  <si>
    <t xml:space="preserve">Dominique</t>
  </si>
  <si>
    <t xml:space="preserve">.dk</t>
  </si>
  <si>
    <t xml:space="preserve">DK</t>
  </si>
  <si>
    <t xml:space="preserve">Dänemark</t>
  </si>
  <si>
    <t xml:space="preserve">Danimarca </t>
  </si>
  <si>
    <t xml:space="preserve">Denmark </t>
  </si>
  <si>
    <t xml:space="preserve">Dinamarca</t>
  </si>
  <si>
    <t xml:space="preserve">Danemark</t>
  </si>
  <si>
    <t xml:space="preserve">.do</t>
  </si>
  <si>
    <t xml:space="preserve">DO</t>
  </si>
  <si>
    <t xml:space="preserve">Dominikanische Republik</t>
  </si>
  <si>
    <t xml:space="preserve">Repubblica Dominicana </t>
  </si>
  <si>
    <t xml:space="preserve">Dominican Republic </t>
  </si>
  <si>
    <t xml:space="preserve">República Dominicana</t>
  </si>
  <si>
    <t xml:space="preserve">République Dominicaine</t>
  </si>
  <si>
    <t xml:space="preserve">.dz</t>
  </si>
  <si>
    <t xml:space="preserve">DZ</t>
  </si>
  <si>
    <t xml:space="preserve">Algerien</t>
  </si>
  <si>
    <t xml:space="preserve">Algeria </t>
  </si>
  <si>
    <t xml:space="preserve">Argelia</t>
  </si>
  <si>
    <t xml:space="preserve">Algérie</t>
  </si>
  <si>
    <t xml:space="preserve">.ec</t>
  </si>
  <si>
    <t xml:space="preserve">EC</t>
  </si>
  <si>
    <t xml:space="preserve">Ecuador </t>
  </si>
  <si>
    <t xml:space="preserve">Équateur</t>
  </si>
  <si>
    <t xml:space="preserve">.eg</t>
  </si>
  <si>
    <t xml:space="preserve">EG</t>
  </si>
  <si>
    <t xml:space="preserve">Ägypten</t>
  </si>
  <si>
    <t xml:space="preserve">Egitto </t>
  </si>
  <si>
    <t xml:space="preserve">Egypt </t>
  </si>
  <si>
    <t xml:space="preserve">Egipto</t>
  </si>
  <si>
    <t xml:space="preserve">Égypte</t>
  </si>
  <si>
    <t xml:space="preserve">.er</t>
  </si>
  <si>
    <t xml:space="preserve">ER</t>
  </si>
  <si>
    <t xml:space="preserve">Eritrea </t>
  </si>
  <si>
    <t xml:space="preserve">Érythrée</t>
  </si>
  <si>
    <t xml:space="preserve">.es</t>
  </si>
  <si>
    <t xml:space="preserve">ES</t>
  </si>
  <si>
    <t xml:space="preserve">Spanien</t>
  </si>
  <si>
    <t xml:space="preserve">Spagna </t>
  </si>
  <si>
    <t xml:space="preserve">Spain </t>
  </si>
  <si>
    <t xml:space="preserve">España</t>
  </si>
  <si>
    <t xml:space="preserve">Espagne</t>
  </si>
  <si>
    <t xml:space="preserve">.ee</t>
  </si>
  <si>
    <t xml:space="preserve">EE</t>
  </si>
  <si>
    <t xml:space="preserve">Estland</t>
  </si>
  <si>
    <t xml:space="preserve">Estonia </t>
  </si>
  <si>
    <t xml:space="preserve">Estonie</t>
  </si>
  <si>
    <t xml:space="preserve">.et</t>
  </si>
  <si>
    <t xml:space="preserve">ET</t>
  </si>
  <si>
    <t xml:space="preserve">Äthiopien</t>
  </si>
  <si>
    <t xml:space="preserve">Etiopia </t>
  </si>
  <si>
    <t xml:space="preserve">Ethiopia </t>
  </si>
  <si>
    <t xml:space="preserve">Etiopía</t>
  </si>
  <si>
    <t xml:space="preserve">Éthiopie</t>
  </si>
  <si>
    <t xml:space="preserve">.fi</t>
  </si>
  <si>
    <t xml:space="preserve">FI</t>
  </si>
  <si>
    <t xml:space="preserve">Finnland</t>
  </si>
  <si>
    <t xml:space="preserve">Finlandia </t>
  </si>
  <si>
    <t xml:space="preserve">Finland </t>
  </si>
  <si>
    <t xml:space="preserve">Finlandia</t>
  </si>
  <si>
    <t xml:space="preserve">Finlande</t>
  </si>
  <si>
    <t xml:space="preserve">.fj</t>
  </si>
  <si>
    <t xml:space="preserve">FJ</t>
  </si>
  <si>
    <t xml:space="preserve">Fidschi</t>
  </si>
  <si>
    <t xml:space="preserve">Figi </t>
  </si>
  <si>
    <t xml:space="preserve">Fiji </t>
  </si>
  <si>
    <t xml:space="preserve">Fiyi</t>
  </si>
  <si>
    <t xml:space="preserve">.fr</t>
  </si>
  <si>
    <t xml:space="preserve">FR</t>
  </si>
  <si>
    <t xml:space="preserve">Frankreich</t>
  </si>
  <si>
    <t xml:space="preserve">Francia </t>
  </si>
  <si>
    <t xml:space="preserve">France </t>
  </si>
  <si>
    <t xml:space="preserve">Francia</t>
  </si>
  <si>
    <t xml:space="preserve">.fo</t>
  </si>
  <si>
    <t xml:space="preserve">FO</t>
  </si>
  <si>
    <t xml:space="preserve">Färöer</t>
  </si>
  <si>
    <t xml:space="preserve">Isole Fær Øer </t>
  </si>
  <si>
    <t xml:space="preserve">Faroe Islands </t>
  </si>
  <si>
    <t xml:space="preserve">Islas Feroe</t>
  </si>
  <si>
    <t xml:space="preserve">Îles Féroé</t>
  </si>
  <si>
    <t xml:space="preserve">.fm</t>
  </si>
  <si>
    <t xml:space="preserve">FM</t>
  </si>
  <si>
    <t xml:space="preserve">Mikronesien</t>
  </si>
  <si>
    <t xml:space="preserve">Micronesia </t>
  </si>
  <si>
    <t xml:space="preserve">Micronesia, Federated States of </t>
  </si>
  <si>
    <t xml:space="preserve">Micronesia</t>
  </si>
  <si>
    <t xml:space="preserve">Micronésie</t>
  </si>
  <si>
    <t xml:space="preserve">.ga</t>
  </si>
  <si>
    <t xml:space="preserve">GA</t>
  </si>
  <si>
    <t xml:space="preserve">Gabun</t>
  </si>
  <si>
    <t xml:space="preserve">Gabon </t>
  </si>
  <si>
    <t xml:space="preserve">Gabón</t>
  </si>
  <si>
    <t xml:space="preserve">.uk</t>
  </si>
  <si>
    <t xml:space="preserve">GB</t>
  </si>
  <si>
    <t xml:space="preserve">Vereinigtes Königreich Großbritannien und Nordirland</t>
  </si>
  <si>
    <t xml:space="preserve">Regno Unito </t>
  </si>
  <si>
    <t xml:space="preserve">United Kingdom </t>
  </si>
  <si>
    <t xml:space="preserve">Reino Unido</t>
  </si>
  <si>
    <t xml:space="preserve">Royaume-Uni</t>
  </si>
  <si>
    <t xml:space="preserve">.ge</t>
  </si>
  <si>
    <t xml:space="preserve">GE</t>
  </si>
  <si>
    <t xml:space="preserve">Georgien</t>
  </si>
  <si>
    <t xml:space="preserve">Georgia </t>
  </si>
  <si>
    <t xml:space="preserve">État de Géorgie</t>
  </si>
  <si>
    <t xml:space="preserve">.gh</t>
  </si>
  <si>
    <t xml:space="preserve">GH</t>
  </si>
  <si>
    <t xml:space="preserve">Ghana </t>
  </si>
  <si>
    <t xml:space="preserve">.gi</t>
  </si>
  <si>
    <t xml:space="preserve">GI</t>
  </si>
  <si>
    <t xml:space="preserve">Gibilterra </t>
  </si>
  <si>
    <t xml:space="preserve">Gibraltar </t>
  </si>
  <si>
    <t xml:space="preserve">Gribraltar</t>
  </si>
  <si>
    <t xml:space="preserve">.gn</t>
  </si>
  <si>
    <t xml:space="preserve">GN</t>
  </si>
  <si>
    <t xml:space="preserve">Guinea </t>
  </si>
  <si>
    <t xml:space="preserve">Guinée</t>
  </si>
  <si>
    <t xml:space="preserve">.gm</t>
  </si>
  <si>
    <t xml:space="preserve">GM</t>
  </si>
  <si>
    <t xml:space="preserve">Gambia</t>
  </si>
  <si>
    <t xml:space="preserve">Gambia </t>
  </si>
  <si>
    <t xml:space="preserve">Gambie</t>
  </si>
  <si>
    <t xml:space="preserve">.gw</t>
  </si>
  <si>
    <t xml:space="preserve">GW</t>
  </si>
  <si>
    <t xml:space="preserve">Guinea-Bissau </t>
  </si>
  <si>
    <t xml:space="preserve">Guinea-Bisáu</t>
  </si>
  <si>
    <t xml:space="preserve">Guinée-Bissau</t>
  </si>
  <si>
    <t xml:space="preserve">.gq</t>
  </si>
  <si>
    <t xml:space="preserve">GQ</t>
  </si>
  <si>
    <t xml:space="preserve">Äquatorialguinea</t>
  </si>
  <si>
    <t xml:space="preserve">Guinea Equatoriale </t>
  </si>
  <si>
    <t xml:space="preserve">Equatorial Guinea </t>
  </si>
  <si>
    <t xml:space="preserve">Guinea Ecuatorial</t>
  </si>
  <si>
    <t xml:space="preserve">Guinée équatoriale</t>
  </si>
  <si>
    <t xml:space="preserve">.gr</t>
  </si>
  <si>
    <t xml:space="preserve">GR</t>
  </si>
  <si>
    <t xml:space="preserve">Griechenland</t>
  </si>
  <si>
    <t xml:space="preserve">Grecia </t>
  </si>
  <si>
    <t xml:space="preserve">Greece </t>
  </si>
  <si>
    <t xml:space="preserve">Grecia</t>
  </si>
  <si>
    <t xml:space="preserve">Grèce</t>
  </si>
  <si>
    <t xml:space="preserve">.gd</t>
  </si>
  <si>
    <t xml:space="preserve">GD</t>
  </si>
  <si>
    <t xml:space="preserve">Grenada </t>
  </si>
  <si>
    <t xml:space="preserve">Granada</t>
  </si>
  <si>
    <t xml:space="preserve">Grenade</t>
  </si>
  <si>
    <t xml:space="preserve">.gl</t>
  </si>
  <si>
    <t xml:space="preserve">GL</t>
  </si>
  <si>
    <t xml:space="preserve">Grönland</t>
  </si>
  <si>
    <t xml:space="preserve">Groenlandia </t>
  </si>
  <si>
    <t xml:space="preserve">Greenland </t>
  </si>
  <si>
    <t xml:space="preserve">Groenlandia</t>
  </si>
  <si>
    <t xml:space="preserve">Groenland</t>
  </si>
  <si>
    <t xml:space="preserve">.gt</t>
  </si>
  <si>
    <t xml:space="preserve">GT</t>
  </si>
  <si>
    <t xml:space="preserve">Guatemala </t>
  </si>
  <si>
    <t xml:space="preserve">Guatémala</t>
  </si>
  <si>
    <t xml:space="preserve">.gu</t>
  </si>
  <si>
    <t xml:space="preserve">GU</t>
  </si>
  <si>
    <t xml:space="preserve">Guam </t>
  </si>
  <si>
    <t xml:space="preserve">.gy</t>
  </si>
  <si>
    <t xml:space="preserve">GY</t>
  </si>
  <si>
    <t xml:space="preserve">Guyana </t>
  </si>
  <si>
    <t xml:space="preserve">Guyane</t>
  </si>
  <si>
    <t xml:space="preserve">.hk</t>
  </si>
  <si>
    <t xml:space="preserve">HK</t>
  </si>
  <si>
    <t xml:space="preserve">Hongkong</t>
  </si>
  <si>
    <t xml:space="preserve">Hong Kong </t>
  </si>
  <si>
    <t xml:space="preserve">Hong Kong</t>
  </si>
  <si>
    <t xml:space="preserve">.hn</t>
  </si>
  <si>
    <t xml:space="preserve">HN</t>
  </si>
  <si>
    <t xml:space="preserve">Honduras </t>
  </si>
  <si>
    <t xml:space="preserve">.hr</t>
  </si>
  <si>
    <t xml:space="preserve">HR</t>
  </si>
  <si>
    <t xml:space="preserve">Kroatien</t>
  </si>
  <si>
    <t xml:space="preserve">Croazia </t>
  </si>
  <si>
    <t xml:space="preserve">Croatia </t>
  </si>
  <si>
    <t xml:space="preserve">Croacia</t>
  </si>
  <si>
    <t xml:space="preserve">Croatie</t>
  </si>
  <si>
    <t xml:space="preserve">.ht</t>
  </si>
  <si>
    <t xml:space="preserve">HT</t>
  </si>
  <si>
    <t xml:space="preserve">Haiti </t>
  </si>
  <si>
    <t xml:space="preserve">Haití</t>
  </si>
  <si>
    <t xml:space="preserve">Haïti</t>
  </si>
  <si>
    <t xml:space="preserve">.hu</t>
  </si>
  <si>
    <t xml:space="preserve">HU</t>
  </si>
  <si>
    <t xml:space="preserve">Ungarn</t>
  </si>
  <si>
    <t xml:space="preserve">Ungheria </t>
  </si>
  <si>
    <t xml:space="preserve">Hungary </t>
  </si>
  <si>
    <t xml:space="preserve">Hungría</t>
  </si>
  <si>
    <t xml:space="preserve">Hongrie</t>
  </si>
  <si>
    <t xml:space="preserve">.id</t>
  </si>
  <si>
    <t xml:space="preserve">ID</t>
  </si>
  <si>
    <t xml:space="preserve">Indonesien</t>
  </si>
  <si>
    <t xml:space="preserve">Indonesia </t>
  </si>
  <si>
    <t xml:space="preserve">Indonésie</t>
  </si>
  <si>
    <t xml:space="preserve">.im</t>
  </si>
  <si>
    <t xml:space="preserve">IM</t>
  </si>
  <si>
    <t xml:space="preserve">Insel Man</t>
  </si>
  <si>
    <t xml:space="preserve">Isola di Man </t>
  </si>
  <si>
    <t xml:space="preserve">Isle of Man </t>
  </si>
  <si>
    <t xml:space="preserve">Isla de Man</t>
  </si>
  <si>
    <t xml:space="preserve">Île de Man</t>
  </si>
  <si>
    <t xml:space="preserve">.in</t>
  </si>
  <si>
    <t xml:space="preserve">IN</t>
  </si>
  <si>
    <t xml:space="preserve">Indien</t>
  </si>
  <si>
    <t xml:space="preserve">India </t>
  </si>
  <si>
    <t xml:space="preserve">Inde</t>
  </si>
  <si>
    <t xml:space="preserve">.ie</t>
  </si>
  <si>
    <t xml:space="preserve">IE</t>
  </si>
  <si>
    <t xml:space="preserve">Irland</t>
  </si>
  <si>
    <t xml:space="preserve">Irlanda </t>
  </si>
  <si>
    <t xml:space="preserve">Ireland </t>
  </si>
  <si>
    <t xml:space="preserve">Irlanda</t>
  </si>
  <si>
    <t xml:space="preserve">Irlande</t>
  </si>
  <si>
    <t xml:space="preserve">.ir</t>
  </si>
  <si>
    <t xml:space="preserve">IR</t>
  </si>
  <si>
    <t xml:space="preserve">Iran, Islamische Republik</t>
  </si>
  <si>
    <t xml:space="preserve">Iran </t>
  </si>
  <si>
    <t xml:space="preserve">Iran, Islamic Republic of </t>
  </si>
  <si>
    <t xml:space="preserve">Irán</t>
  </si>
  <si>
    <t xml:space="preserve">Iran</t>
  </si>
  <si>
    <t xml:space="preserve">.iq</t>
  </si>
  <si>
    <t xml:space="preserve">IQ</t>
  </si>
  <si>
    <t xml:space="preserve">Irak</t>
  </si>
  <si>
    <t xml:space="preserve">Iraq </t>
  </si>
  <si>
    <t xml:space="preserve">.is</t>
  </si>
  <si>
    <t xml:space="preserve">IS</t>
  </si>
  <si>
    <t xml:space="preserve">Island</t>
  </si>
  <si>
    <t xml:space="preserve">Islanda </t>
  </si>
  <si>
    <t xml:space="preserve">Iceland </t>
  </si>
  <si>
    <t xml:space="preserve">Islandia</t>
  </si>
  <si>
    <t xml:space="preserve">Islande</t>
  </si>
  <si>
    <t xml:space="preserve">.il</t>
  </si>
  <si>
    <t xml:space="preserve">IL</t>
  </si>
  <si>
    <t xml:space="preserve">Israele </t>
  </si>
  <si>
    <t xml:space="preserve">Israel </t>
  </si>
  <si>
    <t xml:space="preserve">Israël</t>
  </si>
  <si>
    <t xml:space="preserve">.it</t>
  </si>
  <si>
    <t xml:space="preserve">IT</t>
  </si>
  <si>
    <t xml:space="preserve">Italien</t>
  </si>
  <si>
    <t xml:space="preserve">Italia </t>
  </si>
  <si>
    <t xml:space="preserve">Italy </t>
  </si>
  <si>
    <t xml:space="preserve">Italia</t>
  </si>
  <si>
    <t xml:space="preserve">Italie</t>
  </si>
  <si>
    <t xml:space="preserve">.jm</t>
  </si>
  <si>
    <t xml:space="preserve">JM</t>
  </si>
  <si>
    <t xml:space="preserve">Jamaika</t>
  </si>
  <si>
    <t xml:space="preserve">Giamaica </t>
  </si>
  <si>
    <t xml:space="preserve">Jamaica </t>
  </si>
  <si>
    <t xml:space="preserve">Jamaïque</t>
  </si>
  <si>
    <t xml:space="preserve">.jo</t>
  </si>
  <si>
    <t xml:space="preserve">JO</t>
  </si>
  <si>
    <t xml:space="preserve">Jordanien</t>
  </si>
  <si>
    <t xml:space="preserve">Giordania </t>
  </si>
  <si>
    <t xml:space="preserve">Jordan </t>
  </si>
  <si>
    <t xml:space="preserve">Jordania</t>
  </si>
  <si>
    <t xml:space="preserve">Jordanie</t>
  </si>
  <si>
    <t xml:space="preserve">.jp</t>
  </si>
  <si>
    <t xml:space="preserve">JP</t>
  </si>
  <si>
    <t xml:space="preserve">Giappone </t>
  </si>
  <si>
    <t xml:space="preserve">Japan </t>
  </si>
  <si>
    <t xml:space="preserve">Japón</t>
  </si>
  <si>
    <t xml:space="preserve">Japon</t>
  </si>
  <si>
    <t xml:space="preserve">.kz</t>
  </si>
  <si>
    <t xml:space="preserve">KZ</t>
  </si>
  <si>
    <t xml:space="preserve">Kasachstan</t>
  </si>
  <si>
    <t xml:space="preserve">Kazakistan </t>
  </si>
  <si>
    <t xml:space="preserve">Kazakhstan </t>
  </si>
  <si>
    <t xml:space="preserve">Kazajistán</t>
  </si>
  <si>
    <t xml:space="preserve">.ke</t>
  </si>
  <si>
    <t xml:space="preserve">KE</t>
  </si>
  <si>
    <t xml:space="preserve">Kenia</t>
  </si>
  <si>
    <t xml:space="preserve">Kenya </t>
  </si>
  <si>
    <t xml:space="preserve">.kg</t>
  </si>
  <si>
    <t xml:space="preserve">KG</t>
  </si>
  <si>
    <t xml:space="preserve">Kirgisistan</t>
  </si>
  <si>
    <t xml:space="preserve">Kirghizistan </t>
  </si>
  <si>
    <t xml:space="preserve">Kyrgyzstan </t>
  </si>
  <si>
    <t xml:space="preserve">Kirguistán</t>
  </si>
  <si>
    <t xml:space="preserve">Kirghizistan</t>
  </si>
  <si>
    <t xml:space="preserve">.kh</t>
  </si>
  <si>
    <t xml:space="preserve">KH</t>
  </si>
  <si>
    <t xml:space="preserve">Kambodscha</t>
  </si>
  <si>
    <t xml:space="preserve">Cambogia </t>
  </si>
  <si>
    <t xml:space="preserve">Cambodia </t>
  </si>
  <si>
    <t xml:space="preserve">Camboya</t>
  </si>
  <si>
    <t xml:space="preserve">Cambodge</t>
  </si>
  <si>
    <t xml:space="preserve">.ki</t>
  </si>
  <si>
    <t xml:space="preserve">KI</t>
  </si>
  <si>
    <t xml:space="preserve">Kiribati </t>
  </si>
  <si>
    <t xml:space="preserve">.kn</t>
  </si>
  <si>
    <t xml:space="preserve">KN</t>
  </si>
  <si>
    <t xml:space="preserve">St. Kitts und Nevis</t>
  </si>
  <si>
    <t xml:space="preserve">Saint Kitts e Nevis </t>
  </si>
  <si>
    <t xml:space="preserve">Saint Kitts and Nevis </t>
  </si>
  <si>
    <t xml:space="preserve">San Cristóbal y Nieves</t>
  </si>
  <si>
    <t xml:space="preserve">Saint-Kitts-et-Nevis</t>
  </si>
  <si>
    <t xml:space="preserve">.kr</t>
  </si>
  <si>
    <t xml:space="preserve">KR</t>
  </si>
  <si>
    <t xml:space="preserve">Korea, Republik (Südkorea)</t>
  </si>
  <si>
    <t xml:space="preserve">Corea del Sud </t>
  </si>
  <si>
    <t xml:space="preserve">Korea, Republic of </t>
  </si>
  <si>
    <t xml:space="preserve">Corea del Sur</t>
  </si>
  <si>
    <t xml:space="preserve">Corée du Sud</t>
  </si>
  <si>
    <t xml:space="preserve">.kw</t>
  </si>
  <si>
    <t xml:space="preserve">KW</t>
  </si>
  <si>
    <t xml:space="preserve">Kuwait </t>
  </si>
  <si>
    <t xml:space="preserve">Koweït</t>
  </si>
  <si>
    <t xml:space="preserve">.la</t>
  </si>
  <si>
    <t xml:space="preserve">LA</t>
  </si>
  <si>
    <t xml:space="preserve">Laos, Demokratische Volksrepublik</t>
  </si>
  <si>
    <t xml:space="preserve">Laos </t>
  </si>
  <si>
    <t xml:space="preserve">Lao People's Democratic Republic </t>
  </si>
  <si>
    <t xml:space="preserve">Laos</t>
  </si>
  <si>
    <t xml:space="preserve">.lb</t>
  </si>
  <si>
    <t xml:space="preserve">LB</t>
  </si>
  <si>
    <t xml:space="preserve">Libanon</t>
  </si>
  <si>
    <t xml:space="preserve">Libano </t>
  </si>
  <si>
    <t xml:space="preserve">Lebanon </t>
  </si>
  <si>
    <t xml:space="preserve">Líbano</t>
  </si>
  <si>
    <t xml:space="preserve">Liban</t>
  </si>
  <si>
    <t xml:space="preserve">.lr</t>
  </si>
  <si>
    <t xml:space="preserve">LR</t>
  </si>
  <si>
    <t xml:space="preserve">Liberia </t>
  </si>
  <si>
    <t xml:space="preserve">Libéria</t>
  </si>
  <si>
    <t xml:space="preserve">.ly</t>
  </si>
  <si>
    <t xml:space="preserve">LY</t>
  </si>
  <si>
    <t xml:space="preserve">Libyen</t>
  </si>
  <si>
    <t xml:space="preserve">Libia </t>
  </si>
  <si>
    <t xml:space="preserve">Libya </t>
  </si>
  <si>
    <t xml:space="preserve">Libia</t>
  </si>
  <si>
    <t xml:space="preserve">Libye</t>
  </si>
  <si>
    <t xml:space="preserve">.lc</t>
  </si>
  <si>
    <t xml:space="preserve">LC</t>
  </si>
  <si>
    <t xml:space="preserve">Santa Lucia </t>
  </si>
  <si>
    <t xml:space="preserve">Saint Lucia </t>
  </si>
  <si>
    <t xml:space="preserve">Santa Lucía</t>
  </si>
  <si>
    <t xml:space="preserve">Sainte-Lucie</t>
  </si>
  <si>
    <t xml:space="preserve">.li</t>
  </si>
  <si>
    <t xml:space="preserve">LI</t>
  </si>
  <si>
    <t xml:space="preserve">Liechtenstein </t>
  </si>
  <si>
    <t xml:space="preserve">.lk</t>
  </si>
  <si>
    <t xml:space="preserve">LK</t>
  </si>
  <si>
    <t xml:space="preserve">Sri Lanka </t>
  </si>
  <si>
    <t xml:space="preserve">.ls</t>
  </si>
  <si>
    <t xml:space="preserve">LS</t>
  </si>
  <si>
    <t xml:space="preserve">Lesotho </t>
  </si>
  <si>
    <t xml:space="preserve">Lesoto</t>
  </si>
  <si>
    <t xml:space="preserve">.lt</t>
  </si>
  <si>
    <t xml:space="preserve">LT</t>
  </si>
  <si>
    <t xml:space="preserve">Litauen</t>
  </si>
  <si>
    <t xml:space="preserve">Lituania </t>
  </si>
  <si>
    <t xml:space="preserve">Lithuania </t>
  </si>
  <si>
    <t xml:space="preserve">Lituania</t>
  </si>
  <si>
    <t xml:space="preserve">Lituanie</t>
  </si>
  <si>
    <t xml:space="preserve">.lu</t>
  </si>
  <si>
    <t xml:space="preserve">LU</t>
  </si>
  <si>
    <t xml:space="preserve">Luxemburg</t>
  </si>
  <si>
    <t xml:space="preserve">Lussemburgo </t>
  </si>
  <si>
    <t xml:space="preserve">Luxembourg </t>
  </si>
  <si>
    <t xml:space="preserve">Luxemburgo</t>
  </si>
  <si>
    <t xml:space="preserve">.lv</t>
  </si>
  <si>
    <t xml:space="preserve">LV</t>
  </si>
  <si>
    <t xml:space="preserve">Lettland</t>
  </si>
  <si>
    <t xml:space="preserve">Lettonia </t>
  </si>
  <si>
    <t xml:space="preserve">Latvia </t>
  </si>
  <si>
    <t xml:space="preserve">Letonia</t>
  </si>
  <si>
    <t xml:space="preserve">Lettonie</t>
  </si>
  <si>
    <t xml:space="preserve">.mo</t>
  </si>
  <si>
    <t xml:space="preserve">MO</t>
  </si>
  <si>
    <t xml:space="preserve">Macao</t>
  </si>
  <si>
    <t xml:space="preserve">Macao </t>
  </si>
  <si>
    <t xml:space="preserve">.gp</t>
  </si>
  <si>
    <t xml:space="preserve">MF</t>
  </si>
  <si>
    <t xml:space="preserve">Saint-Martin (franz. Teil)</t>
  </si>
  <si>
    <t xml:space="preserve">Saint-Martin </t>
  </si>
  <si>
    <t xml:space="preserve">Saint Martin (French part) </t>
  </si>
  <si>
    <t xml:space="preserve">San Martín</t>
  </si>
  <si>
    <t xml:space="preserve">Saint-Martin</t>
  </si>
  <si>
    <t xml:space="preserve">.ma</t>
  </si>
  <si>
    <t xml:space="preserve">MA</t>
  </si>
  <si>
    <t xml:space="preserve">Marokko</t>
  </si>
  <si>
    <t xml:space="preserve">Marocco </t>
  </si>
  <si>
    <t xml:space="preserve">Morocco </t>
  </si>
  <si>
    <t xml:space="preserve">Marruecos</t>
  </si>
  <si>
    <t xml:space="preserve">Maroc</t>
  </si>
  <si>
    <t xml:space="preserve">.mc</t>
  </si>
  <si>
    <t xml:space="preserve">MC</t>
  </si>
  <si>
    <t xml:space="preserve">di Monaco Monaco </t>
  </si>
  <si>
    <t xml:space="preserve">Monaco </t>
  </si>
  <si>
    <t xml:space="preserve">Mónaco</t>
  </si>
  <si>
    <t xml:space="preserve">.md</t>
  </si>
  <si>
    <t xml:space="preserve">MD</t>
  </si>
  <si>
    <t xml:space="preserve">Moldawien (Republik Moldau)</t>
  </si>
  <si>
    <t xml:space="preserve">Moldavia </t>
  </si>
  <si>
    <t xml:space="preserve">Moldova, Republic of </t>
  </si>
  <si>
    <t xml:space="preserve">Moldavia</t>
  </si>
  <si>
    <t xml:space="preserve">Moldavie</t>
  </si>
  <si>
    <t xml:space="preserve">.mg</t>
  </si>
  <si>
    <t xml:space="preserve">MG</t>
  </si>
  <si>
    <t xml:space="preserve">Madagaskar</t>
  </si>
  <si>
    <t xml:space="preserve">Madagascar </t>
  </si>
  <si>
    <t xml:space="preserve">.mv</t>
  </si>
  <si>
    <t xml:space="preserve">MV</t>
  </si>
  <si>
    <t xml:space="preserve">Malediven</t>
  </si>
  <si>
    <t xml:space="preserve">Maldive </t>
  </si>
  <si>
    <t xml:space="preserve">Maldives </t>
  </si>
  <si>
    <t xml:space="preserve">Maldivas</t>
  </si>
  <si>
    <t xml:space="preserve">.mx</t>
  </si>
  <si>
    <t xml:space="preserve">MX</t>
  </si>
  <si>
    <t xml:space="preserve">Mexiko</t>
  </si>
  <si>
    <t xml:space="preserve">Messico </t>
  </si>
  <si>
    <t xml:space="preserve">Mexico </t>
  </si>
  <si>
    <t xml:space="preserve">México</t>
  </si>
  <si>
    <t xml:space="preserve">Mexique</t>
  </si>
  <si>
    <t xml:space="preserve">.mh</t>
  </si>
  <si>
    <t xml:space="preserve">MH</t>
  </si>
  <si>
    <t xml:space="preserve">Marshallinseln</t>
  </si>
  <si>
    <t xml:space="preserve">Isole Marshall </t>
  </si>
  <si>
    <t xml:space="preserve">Marshall Islands </t>
  </si>
  <si>
    <t xml:space="preserve">Islas Marshall</t>
  </si>
  <si>
    <t xml:space="preserve">Îles Marshall</t>
  </si>
  <si>
    <t xml:space="preserve">.mk</t>
  </si>
  <si>
    <t xml:space="preserve">MK</t>
  </si>
  <si>
    <t xml:space="preserve">Mazedonien</t>
  </si>
  <si>
    <t xml:space="preserve">Repubblica di Macedonia </t>
  </si>
  <si>
    <t xml:space="preserve">Macedonia, The Former Yugoslav Republic of </t>
  </si>
  <si>
    <t xml:space="preserve">República de Macedonia</t>
  </si>
  <si>
    <t xml:space="preserve">Macédoine</t>
  </si>
  <si>
    <t xml:space="preserve">.ml</t>
  </si>
  <si>
    <t xml:space="preserve">ML</t>
  </si>
  <si>
    <t xml:space="preserve">Mali </t>
  </si>
  <si>
    <t xml:space="preserve">Malí</t>
  </si>
  <si>
    <t xml:space="preserve">.mt</t>
  </si>
  <si>
    <t xml:space="preserve">MT</t>
  </si>
  <si>
    <t xml:space="preserve">Malta </t>
  </si>
  <si>
    <t xml:space="preserve">Malte</t>
  </si>
  <si>
    <t xml:space="preserve">.mm</t>
  </si>
  <si>
    <t xml:space="preserve">MM</t>
  </si>
  <si>
    <t xml:space="preserve">Myanmar (Burma)</t>
  </si>
  <si>
    <t xml:space="preserve">Birmania </t>
  </si>
  <si>
    <t xml:space="preserve">Myanmar </t>
  </si>
  <si>
    <t xml:space="preserve">Birmania</t>
  </si>
  <si>
    <t xml:space="preserve">.me</t>
  </si>
  <si>
    <t xml:space="preserve">ME</t>
  </si>
  <si>
    <t xml:space="preserve">Montenegro </t>
  </si>
  <si>
    <t xml:space="preserve">Monténégro</t>
  </si>
  <si>
    <t xml:space="preserve">.mn</t>
  </si>
  <si>
    <t xml:space="preserve">MN</t>
  </si>
  <si>
    <t xml:space="preserve">Mongolei</t>
  </si>
  <si>
    <t xml:space="preserve">Mongolia </t>
  </si>
  <si>
    <t xml:space="preserve">Mongolie</t>
  </si>
  <si>
    <t xml:space="preserve">.mp</t>
  </si>
  <si>
    <t xml:space="preserve">MP</t>
  </si>
  <si>
    <t xml:space="preserve">Nördliche Marianen</t>
  </si>
  <si>
    <t xml:space="preserve">Isole Marianne Settentrionali </t>
  </si>
  <si>
    <t xml:space="preserve">Northern Mariana Islands </t>
  </si>
  <si>
    <t xml:space="preserve">Islas Marianas del Norte</t>
  </si>
  <si>
    <t xml:space="preserve">Îles Mariannes du Nord</t>
  </si>
  <si>
    <t xml:space="preserve">.mz</t>
  </si>
  <si>
    <t xml:space="preserve">MZ</t>
  </si>
  <si>
    <t xml:space="preserve">Mosambik</t>
  </si>
  <si>
    <t xml:space="preserve">Mozambico </t>
  </si>
  <si>
    <t xml:space="preserve">Mozambique </t>
  </si>
  <si>
    <t xml:space="preserve">.mr</t>
  </si>
  <si>
    <t xml:space="preserve">MR</t>
  </si>
  <si>
    <t xml:space="preserve">Mauretanien</t>
  </si>
  <si>
    <t xml:space="preserve">Mauritania </t>
  </si>
  <si>
    <t xml:space="preserve">Mauritanie</t>
  </si>
  <si>
    <t xml:space="preserve">.mu</t>
  </si>
  <si>
    <t xml:space="preserve">MU</t>
  </si>
  <si>
    <t xml:space="preserve">Mauritius </t>
  </si>
  <si>
    <t xml:space="preserve">Mauricio</t>
  </si>
  <si>
    <t xml:space="preserve">Île Maurice</t>
  </si>
  <si>
    <t xml:space="preserve">.mw</t>
  </si>
  <si>
    <t xml:space="preserve">MW</t>
  </si>
  <si>
    <t xml:space="preserve">Malawi </t>
  </si>
  <si>
    <t xml:space="preserve">Malaui</t>
  </si>
  <si>
    <t xml:space="preserve">.my</t>
  </si>
  <si>
    <t xml:space="preserve">MY</t>
  </si>
  <si>
    <t xml:space="preserve">Malesia </t>
  </si>
  <si>
    <t xml:space="preserve">Malaysia </t>
  </si>
  <si>
    <t xml:space="preserve">Malasia</t>
  </si>
  <si>
    <t xml:space="preserve">Malaysie</t>
  </si>
  <si>
    <t xml:space="preserve">.na</t>
  </si>
  <si>
    <t xml:space="preserve">NA</t>
  </si>
  <si>
    <t xml:space="preserve">Namibia </t>
  </si>
  <si>
    <t xml:space="preserve">Namibie</t>
  </si>
  <si>
    <t xml:space="preserve">.nc</t>
  </si>
  <si>
    <t xml:space="preserve">NC</t>
  </si>
  <si>
    <t xml:space="preserve">Neukaledonien</t>
  </si>
  <si>
    <t xml:space="preserve">Nuova Caledonia </t>
  </si>
  <si>
    <t xml:space="preserve">New Caledonia </t>
  </si>
  <si>
    <t xml:space="preserve">Nueva Caledonia</t>
  </si>
  <si>
    <t xml:space="preserve">Nouvelle-Calédonie</t>
  </si>
  <si>
    <t xml:space="preserve">.ne</t>
  </si>
  <si>
    <t xml:space="preserve">NE</t>
  </si>
  <si>
    <t xml:space="preserve">Niger </t>
  </si>
  <si>
    <t xml:space="preserve">Níger</t>
  </si>
  <si>
    <t xml:space="preserve">.ng</t>
  </si>
  <si>
    <t xml:space="preserve">NG</t>
  </si>
  <si>
    <t xml:space="preserve">Nigeria </t>
  </si>
  <si>
    <t xml:space="preserve">Nigéria</t>
  </si>
  <si>
    <t xml:space="preserve">.ni</t>
  </si>
  <si>
    <t xml:space="preserve">NI</t>
  </si>
  <si>
    <t xml:space="preserve">Nicaragua </t>
  </si>
  <si>
    <t xml:space="preserve">.nl</t>
  </si>
  <si>
    <t xml:space="preserve">NL</t>
  </si>
  <si>
    <t xml:space="preserve">Niederlande</t>
  </si>
  <si>
    <t xml:space="preserve">Paesi Bassi </t>
  </si>
  <si>
    <t xml:space="preserve">Netherlands </t>
  </si>
  <si>
    <t xml:space="preserve">Países Bajos</t>
  </si>
  <si>
    <t xml:space="preserve">Pays-Bas</t>
  </si>
  <si>
    <t xml:space="preserve">.no</t>
  </si>
  <si>
    <t xml:space="preserve">NO</t>
  </si>
  <si>
    <t xml:space="preserve">Norwegen</t>
  </si>
  <si>
    <t xml:space="preserve">Norvegia </t>
  </si>
  <si>
    <t xml:space="preserve">Norway </t>
  </si>
  <si>
    <t xml:space="preserve">Noruega</t>
  </si>
  <si>
    <t xml:space="preserve">Norvège</t>
  </si>
  <si>
    <t xml:space="preserve">.np</t>
  </si>
  <si>
    <t xml:space="preserve">NP</t>
  </si>
  <si>
    <t xml:space="preserve">Nepal </t>
  </si>
  <si>
    <t xml:space="preserve">Népal</t>
  </si>
  <si>
    <t xml:space="preserve">.nr</t>
  </si>
  <si>
    <t xml:space="preserve">NR</t>
  </si>
  <si>
    <t xml:space="preserve">Nauru </t>
  </si>
  <si>
    <t xml:space="preserve">.nz</t>
  </si>
  <si>
    <t xml:space="preserve">NZ</t>
  </si>
  <si>
    <t xml:space="preserve">Neuseeland</t>
  </si>
  <si>
    <t xml:space="preserve">Nuova Zelanda </t>
  </si>
  <si>
    <t xml:space="preserve">New Zealand </t>
  </si>
  <si>
    <t xml:space="preserve">Nueva Zelanda</t>
  </si>
  <si>
    <t xml:space="preserve">Nouvelle Zélande</t>
  </si>
  <si>
    <t xml:space="preserve">.om</t>
  </si>
  <si>
    <t xml:space="preserve">OM</t>
  </si>
  <si>
    <t xml:space="preserve">Oman </t>
  </si>
  <si>
    <t xml:space="preserve">Omán</t>
  </si>
  <si>
    <t xml:space="preserve">.pk</t>
  </si>
  <si>
    <t xml:space="preserve">PK</t>
  </si>
  <si>
    <t xml:space="preserve">Pakistan </t>
  </si>
  <si>
    <t xml:space="preserve">Pakistán</t>
  </si>
  <si>
    <t xml:space="preserve">.pa</t>
  </si>
  <si>
    <t xml:space="preserve">PA</t>
  </si>
  <si>
    <t xml:space="preserve">Panamá </t>
  </si>
  <si>
    <t xml:space="preserve">Panama </t>
  </si>
  <si>
    <t xml:space="preserve">Panamá</t>
  </si>
  <si>
    <t xml:space="preserve">.pe</t>
  </si>
  <si>
    <t xml:space="preserve">PE</t>
  </si>
  <si>
    <t xml:space="preserve">Perù </t>
  </si>
  <si>
    <t xml:space="preserve">Peru </t>
  </si>
  <si>
    <t xml:space="preserve">Perú</t>
  </si>
  <si>
    <t xml:space="preserve">Pérou</t>
  </si>
  <si>
    <t xml:space="preserve">.ph</t>
  </si>
  <si>
    <t xml:space="preserve">PH</t>
  </si>
  <si>
    <t xml:space="preserve">Philippinen</t>
  </si>
  <si>
    <t xml:space="preserve">Filippine </t>
  </si>
  <si>
    <t xml:space="preserve">Philippines </t>
  </si>
  <si>
    <t xml:space="preserve">Filipinas</t>
  </si>
  <si>
    <t xml:space="preserve">.pw</t>
  </si>
  <si>
    <t xml:space="preserve">PW</t>
  </si>
  <si>
    <t xml:space="preserve">Palau </t>
  </si>
  <si>
    <t xml:space="preserve">Palaos</t>
  </si>
  <si>
    <t xml:space="preserve">.pg</t>
  </si>
  <si>
    <t xml:space="preserve">PG</t>
  </si>
  <si>
    <t xml:space="preserve">Papua-Neuguinea</t>
  </si>
  <si>
    <t xml:space="preserve">Papua Nuova Guinea </t>
  </si>
  <si>
    <t xml:space="preserve">Papua New Guinea </t>
  </si>
  <si>
    <t xml:space="preserve">Papúa Nueva Guinea</t>
  </si>
  <si>
    <t xml:space="preserve">Papouasie-Nouvelle-Guinée</t>
  </si>
  <si>
    <t xml:space="preserve">.pl</t>
  </si>
  <si>
    <t xml:space="preserve">PL</t>
  </si>
  <si>
    <t xml:space="preserve">Polen</t>
  </si>
  <si>
    <t xml:space="preserve">Polonia </t>
  </si>
  <si>
    <t xml:space="preserve">Poland </t>
  </si>
  <si>
    <t xml:space="preserve">Polonia</t>
  </si>
  <si>
    <t xml:space="preserve">Pologne</t>
  </si>
  <si>
    <t xml:space="preserve">.pr</t>
  </si>
  <si>
    <t xml:space="preserve">PR</t>
  </si>
  <si>
    <t xml:space="preserve">Porto Rico </t>
  </si>
  <si>
    <t xml:space="preserve">Puerto Rico </t>
  </si>
  <si>
    <t xml:space="preserve">.kp</t>
  </si>
  <si>
    <t xml:space="preserve">KP</t>
  </si>
  <si>
    <t xml:space="preserve">Korea, Demokratische Volksrepublik (Nordkorea)</t>
  </si>
  <si>
    <t xml:space="preserve">Corea del Nord </t>
  </si>
  <si>
    <t xml:space="preserve">Korea, Democratic People's Republic of </t>
  </si>
  <si>
    <t xml:space="preserve">Corea del Norte</t>
  </si>
  <si>
    <t xml:space="preserve">Corée du Nord</t>
  </si>
  <si>
    <t xml:space="preserve">.pt</t>
  </si>
  <si>
    <t xml:space="preserve">PT</t>
  </si>
  <si>
    <t xml:space="preserve">Portogallo </t>
  </si>
  <si>
    <t xml:space="preserve">Portugal </t>
  </si>
  <si>
    <t xml:space="preserve">.py</t>
  </si>
  <si>
    <t xml:space="preserve">PY</t>
  </si>
  <si>
    <t xml:space="preserve">Paraguay </t>
  </si>
  <si>
    <t xml:space="preserve">.ps</t>
  </si>
  <si>
    <t xml:space="preserve">PS</t>
  </si>
  <si>
    <t xml:space="preserve">Palästinensische Autonomiegebiete</t>
  </si>
  <si>
    <t xml:space="preserve">Palestina </t>
  </si>
  <si>
    <t xml:space="preserve">Palestinian Territory, Occupied </t>
  </si>
  <si>
    <t xml:space="preserve">Autoridad Nacional Palestina</t>
  </si>
  <si>
    <t xml:space="preserve">Territoire Palestinien</t>
  </si>
  <si>
    <t xml:space="preserve">.pf</t>
  </si>
  <si>
    <t xml:space="preserve">PF</t>
  </si>
  <si>
    <t xml:space="preserve">Französisch-Polynesien</t>
  </si>
  <si>
    <t xml:space="preserve">Polinesia francese </t>
  </si>
  <si>
    <t xml:space="preserve">French Polynesia </t>
  </si>
  <si>
    <t xml:space="preserve">Polinesia Francesa</t>
  </si>
  <si>
    <t xml:space="preserve">Polynésie française</t>
  </si>
  <si>
    <t xml:space="preserve">.qa</t>
  </si>
  <si>
    <t xml:space="preserve">QA</t>
  </si>
  <si>
    <t xml:space="preserve">Katar</t>
  </si>
  <si>
    <t xml:space="preserve">Qatar </t>
  </si>
  <si>
    <t xml:space="preserve">Catar</t>
  </si>
  <si>
    <t xml:space="preserve">.ro</t>
  </si>
  <si>
    <t xml:space="preserve">RO</t>
  </si>
  <si>
    <t xml:space="preserve">Rumänien</t>
  </si>
  <si>
    <t xml:space="preserve">Romania </t>
  </si>
  <si>
    <t xml:space="preserve">Rumania</t>
  </si>
  <si>
    <t xml:space="preserve">Roumanie</t>
  </si>
  <si>
    <t xml:space="preserve">.ru</t>
  </si>
  <si>
    <t xml:space="preserve">RU</t>
  </si>
  <si>
    <t xml:space="preserve">Russische Föderation</t>
  </si>
  <si>
    <t xml:space="preserve">Russia </t>
  </si>
  <si>
    <t xml:space="preserve">Russian Federation </t>
  </si>
  <si>
    <t xml:space="preserve">Rusia</t>
  </si>
  <si>
    <t xml:space="preserve">Russie</t>
  </si>
  <si>
    <t xml:space="preserve">.rw</t>
  </si>
  <si>
    <t xml:space="preserve">RW</t>
  </si>
  <si>
    <t xml:space="preserve">Ruanda</t>
  </si>
  <si>
    <t xml:space="preserve">Ruanda </t>
  </si>
  <si>
    <t xml:space="preserve">Rwanda </t>
  </si>
  <si>
    <t xml:space="preserve">.sa</t>
  </si>
  <si>
    <t xml:space="preserve">SA</t>
  </si>
  <si>
    <t xml:space="preserve">Saudi-Arabien</t>
  </si>
  <si>
    <t xml:space="preserve">Arabia Saudita </t>
  </si>
  <si>
    <t xml:space="preserve">Saudi Arabia </t>
  </si>
  <si>
    <t xml:space="preserve">Arabia Saudita Arabia Saudita</t>
  </si>
  <si>
    <t xml:space="preserve">Arabie Saoudite</t>
  </si>
  <si>
    <t xml:space="preserve">.sd</t>
  </si>
  <si>
    <t xml:space="preserve">SD</t>
  </si>
  <si>
    <t xml:space="preserve">Sudan </t>
  </si>
  <si>
    <t xml:space="preserve">Sudán</t>
  </si>
  <si>
    <t xml:space="preserve">Soudan</t>
  </si>
  <si>
    <t xml:space="preserve">.sn</t>
  </si>
  <si>
    <t xml:space="preserve">SN</t>
  </si>
  <si>
    <t xml:space="preserve">Senegal </t>
  </si>
  <si>
    <t xml:space="preserve">Sénégal</t>
  </si>
  <si>
    <t xml:space="preserve">.sg</t>
  </si>
  <si>
    <t xml:space="preserve">SG</t>
  </si>
  <si>
    <t xml:space="preserve">Singapur</t>
  </si>
  <si>
    <t xml:space="preserve">Singapore </t>
  </si>
  <si>
    <t xml:space="preserve">Singapour</t>
  </si>
  <si>
    <t xml:space="preserve">.sb</t>
  </si>
  <si>
    <t xml:space="preserve">SB</t>
  </si>
  <si>
    <t xml:space="preserve">Salomonen</t>
  </si>
  <si>
    <t xml:space="preserve">Isole Salomone </t>
  </si>
  <si>
    <t xml:space="preserve">Solomon Islands </t>
  </si>
  <si>
    <t xml:space="preserve">Islas Salomón</t>
  </si>
  <si>
    <t xml:space="preserve">Îles Salomon</t>
  </si>
  <si>
    <t xml:space="preserve">.sl</t>
  </si>
  <si>
    <t xml:space="preserve">SL</t>
  </si>
  <si>
    <t xml:space="preserve">Sierra Leone </t>
  </si>
  <si>
    <t xml:space="preserve">Sierra Leona</t>
  </si>
  <si>
    <t xml:space="preserve">.sv</t>
  </si>
  <si>
    <t xml:space="preserve">SV</t>
  </si>
  <si>
    <t xml:space="preserve">El Salvador </t>
  </si>
  <si>
    <t xml:space="preserve">Le Salvador</t>
  </si>
  <si>
    <t xml:space="preserve">.sm</t>
  </si>
  <si>
    <t xml:space="preserve">SM</t>
  </si>
  <si>
    <t xml:space="preserve">San Marino </t>
  </si>
  <si>
    <t xml:space="preserve">San Marin</t>
  </si>
  <si>
    <t xml:space="preserve">.so</t>
  </si>
  <si>
    <t xml:space="preserve">SO</t>
  </si>
  <si>
    <t xml:space="preserve">Somalia </t>
  </si>
  <si>
    <t xml:space="preserve">Somalie</t>
  </si>
  <si>
    <t xml:space="preserve">.rs</t>
  </si>
  <si>
    <t xml:space="preserve">RS</t>
  </si>
  <si>
    <t xml:space="preserve">Serbien</t>
  </si>
  <si>
    <t xml:space="preserve">Serbia </t>
  </si>
  <si>
    <t xml:space="preserve">Serbie</t>
  </si>
  <si>
    <t xml:space="preserve">SS</t>
  </si>
  <si>
    <t xml:space="preserve">Südsudan</t>
  </si>
  <si>
    <t xml:space="preserve">Sudan del Sud </t>
  </si>
  <si>
    <t xml:space="preserve">South Sudan </t>
  </si>
  <si>
    <t xml:space="preserve">Sudán del Sur</t>
  </si>
  <si>
    <t xml:space="preserve">Soudan du Sud</t>
  </si>
  <si>
    <t xml:space="preserve">.st</t>
  </si>
  <si>
    <t xml:space="preserve">ST</t>
  </si>
  <si>
    <t xml:space="preserve">São Tomé und Príncipe</t>
  </si>
  <si>
    <t xml:space="preserve">São Tomé e Príncipe </t>
  </si>
  <si>
    <t xml:space="preserve">Sao Tome and Principe </t>
  </si>
  <si>
    <t xml:space="preserve">Santo Tomé y Príncipe</t>
  </si>
  <si>
    <t xml:space="preserve">Sao Tomé-et-Principe</t>
  </si>
  <si>
    <t xml:space="preserve">.sr</t>
  </si>
  <si>
    <t xml:space="preserve">SR</t>
  </si>
  <si>
    <t xml:space="preserve">Suriname </t>
  </si>
  <si>
    <t xml:space="preserve">Surinam</t>
  </si>
  <si>
    <t xml:space="preserve">.sk</t>
  </si>
  <si>
    <t xml:space="preserve">SK</t>
  </si>
  <si>
    <t xml:space="preserve">Slowakei</t>
  </si>
  <si>
    <t xml:space="preserve">Slovacchia </t>
  </si>
  <si>
    <t xml:space="preserve">Slovakia </t>
  </si>
  <si>
    <t xml:space="preserve">Eslovaquia</t>
  </si>
  <si>
    <t xml:space="preserve">Slovaquie</t>
  </si>
  <si>
    <t xml:space="preserve">.si</t>
  </si>
  <si>
    <t xml:space="preserve">SI</t>
  </si>
  <si>
    <t xml:space="preserve">Slowenien</t>
  </si>
  <si>
    <t xml:space="preserve">Slovenia </t>
  </si>
  <si>
    <t xml:space="preserve">Eslovenia</t>
  </si>
  <si>
    <t xml:space="preserve">Slovénie</t>
  </si>
  <si>
    <t xml:space="preserve">.se</t>
  </si>
  <si>
    <t xml:space="preserve">SE</t>
  </si>
  <si>
    <t xml:space="preserve">Schweden</t>
  </si>
  <si>
    <t xml:space="preserve">Svezia </t>
  </si>
  <si>
    <t xml:space="preserve">Sweden </t>
  </si>
  <si>
    <t xml:space="preserve">Suecia</t>
  </si>
  <si>
    <t xml:space="preserve">Suède</t>
  </si>
  <si>
    <t xml:space="preserve">.sz</t>
  </si>
  <si>
    <t xml:space="preserve">SZ</t>
  </si>
  <si>
    <t xml:space="preserve">Swasiland</t>
  </si>
  <si>
    <t xml:space="preserve">Swaziland </t>
  </si>
  <si>
    <t xml:space="preserve">Suazilandia</t>
  </si>
  <si>
    <t xml:space="preserve">.sx</t>
  </si>
  <si>
    <t xml:space="preserve">SX</t>
  </si>
  <si>
    <t xml:space="preserve">Sint Maarten (niederl. Teil)</t>
  </si>
  <si>
    <t xml:space="preserve">Sint Maarten </t>
  </si>
  <si>
    <t xml:space="preserve">Sint Maarten (Dutch part) </t>
  </si>
  <si>
    <t xml:space="preserve">Sint Maarten</t>
  </si>
  <si>
    <t xml:space="preserve">.sc</t>
  </si>
  <si>
    <t xml:space="preserve">SC</t>
  </si>
  <si>
    <t xml:space="preserve">Seychellen</t>
  </si>
  <si>
    <t xml:space="preserve">Seychelles </t>
  </si>
  <si>
    <t xml:space="preserve">.sy</t>
  </si>
  <si>
    <t xml:space="preserve">SY</t>
  </si>
  <si>
    <t xml:space="preserve">Syrien, Arabische Republik</t>
  </si>
  <si>
    <t xml:space="preserve">Siria </t>
  </si>
  <si>
    <t xml:space="preserve">Syrian Arab Republic </t>
  </si>
  <si>
    <t xml:space="preserve">Siria</t>
  </si>
  <si>
    <t xml:space="preserve">Syrie</t>
  </si>
  <si>
    <t xml:space="preserve">.tc</t>
  </si>
  <si>
    <t xml:space="preserve">TC</t>
  </si>
  <si>
    <t xml:space="preserve">Turks- und Caicosinseln</t>
  </si>
  <si>
    <t xml:space="preserve">Turks e Caicos </t>
  </si>
  <si>
    <t xml:space="preserve">Turks and Caicos Islands </t>
  </si>
  <si>
    <t xml:space="preserve">Islas Turcas y Caicos</t>
  </si>
  <si>
    <t xml:space="preserve">Îles Turques et Caïques</t>
  </si>
  <si>
    <t xml:space="preserve">.td</t>
  </si>
  <si>
    <t xml:space="preserve">TD</t>
  </si>
  <si>
    <t xml:space="preserve">Tschad</t>
  </si>
  <si>
    <t xml:space="preserve">Ciad </t>
  </si>
  <si>
    <t xml:space="preserve">Chad </t>
  </si>
  <si>
    <t xml:space="preserve">Tchad</t>
  </si>
  <si>
    <t xml:space="preserve">.tg</t>
  </si>
  <si>
    <t xml:space="preserve">TG</t>
  </si>
  <si>
    <t xml:space="preserve">Togo </t>
  </si>
  <si>
    <t xml:space="preserve">.th</t>
  </si>
  <si>
    <t xml:space="preserve">TH</t>
  </si>
  <si>
    <t xml:space="preserve">Thailandia </t>
  </si>
  <si>
    <t xml:space="preserve">Thailand </t>
  </si>
  <si>
    <t xml:space="preserve">Tailandia</t>
  </si>
  <si>
    <t xml:space="preserve">Thaïlande</t>
  </si>
  <si>
    <t xml:space="preserve">.tj</t>
  </si>
  <si>
    <t xml:space="preserve">TJ</t>
  </si>
  <si>
    <t xml:space="preserve">Tadschikistan</t>
  </si>
  <si>
    <t xml:space="preserve">Tagikistan </t>
  </si>
  <si>
    <t xml:space="preserve">Tajikistan </t>
  </si>
  <si>
    <t xml:space="preserve">Tayikistán</t>
  </si>
  <si>
    <t xml:space="preserve">.tm</t>
  </si>
  <si>
    <t xml:space="preserve">TM</t>
  </si>
  <si>
    <t xml:space="preserve">Turkmenistan </t>
  </si>
  <si>
    <t xml:space="preserve">Turkmenistán</t>
  </si>
  <si>
    <t xml:space="preserve">Turkménistan</t>
  </si>
  <si>
    <t xml:space="preserve">.tl</t>
  </si>
  <si>
    <t xml:space="preserve">TL</t>
  </si>
  <si>
    <t xml:space="preserve">Osttimor (Timor-Leste)</t>
  </si>
  <si>
    <t xml:space="preserve">Timor Est </t>
  </si>
  <si>
    <t xml:space="preserve">Timor-Leste </t>
  </si>
  <si>
    <t xml:space="preserve">Timor Oriental</t>
  </si>
  <si>
    <t xml:space="preserve">Timor oriental</t>
  </si>
  <si>
    <t xml:space="preserve">.to</t>
  </si>
  <si>
    <t xml:space="preserve">TO</t>
  </si>
  <si>
    <t xml:space="preserve">Tonga </t>
  </si>
  <si>
    <t xml:space="preserve">.tt</t>
  </si>
  <si>
    <t xml:space="preserve">TT</t>
  </si>
  <si>
    <t xml:space="preserve">Trinidad und Tobago</t>
  </si>
  <si>
    <t xml:space="preserve">Trinidad e Tobago </t>
  </si>
  <si>
    <t xml:space="preserve">Trinidad and Tobago </t>
  </si>
  <si>
    <t xml:space="preserve">Trinidad y Tobago</t>
  </si>
  <si>
    <t xml:space="preserve">Trinité et Tobago</t>
  </si>
  <si>
    <t xml:space="preserve">.tn</t>
  </si>
  <si>
    <t xml:space="preserve">TN</t>
  </si>
  <si>
    <t xml:space="preserve">Tunesien</t>
  </si>
  <si>
    <t xml:space="preserve">Tunisia </t>
  </si>
  <si>
    <t xml:space="preserve">Túnez</t>
  </si>
  <si>
    <t xml:space="preserve">Tunisie</t>
  </si>
  <si>
    <t xml:space="preserve">.tr</t>
  </si>
  <si>
    <t xml:space="preserve">TR</t>
  </si>
  <si>
    <t xml:space="preserve">Türkei</t>
  </si>
  <si>
    <t xml:space="preserve">Turchia </t>
  </si>
  <si>
    <t xml:space="preserve">Turkey </t>
  </si>
  <si>
    <t xml:space="preserve">Turquía</t>
  </si>
  <si>
    <t xml:space="preserve">Turquie</t>
  </si>
  <si>
    <t xml:space="preserve">.tv</t>
  </si>
  <si>
    <t xml:space="preserve">TV</t>
  </si>
  <si>
    <t xml:space="preserve">Tuvalu </t>
  </si>
  <si>
    <t xml:space="preserve">.tz</t>
  </si>
  <si>
    <t xml:space="preserve">TZ</t>
  </si>
  <si>
    <t xml:space="preserve">Tansania, Vereinigte Republik</t>
  </si>
  <si>
    <t xml:space="preserve">Tanzania </t>
  </si>
  <si>
    <t xml:space="preserve">Tanzania, United Republic of </t>
  </si>
  <si>
    <t xml:space="preserve">Tanzanie</t>
  </si>
  <si>
    <t xml:space="preserve">.ug</t>
  </si>
  <si>
    <t xml:space="preserve">UG</t>
  </si>
  <si>
    <t xml:space="preserve">Uganda </t>
  </si>
  <si>
    <t xml:space="preserve">Ouganda</t>
  </si>
  <si>
    <t xml:space="preserve">.ua</t>
  </si>
  <si>
    <t xml:space="preserve">UA</t>
  </si>
  <si>
    <t xml:space="preserve">Ucraina </t>
  </si>
  <si>
    <t xml:space="preserve">Ukraine </t>
  </si>
  <si>
    <t xml:space="preserve">Ucrania</t>
  </si>
  <si>
    <t xml:space="preserve">.uy</t>
  </si>
  <si>
    <t xml:space="preserve">UY</t>
  </si>
  <si>
    <t xml:space="preserve">Uruguay </t>
  </si>
  <si>
    <t xml:space="preserve">.us</t>
  </si>
  <si>
    <t xml:space="preserve">US</t>
  </si>
  <si>
    <t xml:space="preserve">Vereinigte Staaten von Amerika</t>
  </si>
  <si>
    <t xml:space="preserve">Stati Uniti d'America </t>
  </si>
  <si>
    <t xml:space="preserve">United States </t>
  </si>
  <si>
    <t xml:space="preserve">Estados Unidos</t>
  </si>
  <si>
    <t xml:space="preserve">États-Unis (USA)</t>
  </si>
  <si>
    <t xml:space="preserve">.uz</t>
  </si>
  <si>
    <t xml:space="preserve">UZ</t>
  </si>
  <si>
    <t xml:space="preserve">Usbekistan</t>
  </si>
  <si>
    <t xml:space="preserve">Uzbekistan </t>
  </si>
  <si>
    <t xml:space="preserve">Uzbekistán</t>
  </si>
  <si>
    <t xml:space="preserve">Ouzbékistan</t>
  </si>
  <si>
    <t xml:space="preserve">.vc</t>
  </si>
  <si>
    <t xml:space="preserve">VC</t>
  </si>
  <si>
    <t xml:space="preserve">St. Vincent und die Grenadinen</t>
  </si>
  <si>
    <t xml:space="preserve">Saint Vincent e Grenadine </t>
  </si>
  <si>
    <t xml:space="preserve">Saint Vincent and the Grenadines </t>
  </si>
  <si>
    <t xml:space="preserve">San Vicente y las Granadinas</t>
  </si>
  <si>
    <t xml:space="preserve">Saint-Vincent-et-les-Grenadines</t>
  </si>
  <si>
    <t xml:space="preserve">.ve</t>
  </si>
  <si>
    <t xml:space="preserve">VE</t>
  </si>
  <si>
    <t xml:space="preserve">Venezuela</t>
  </si>
  <si>
    <t xml:space="preserve">Venezuela </t>
  </si>
  <si>
    <t xml:space="preserve">Venezuela, Bolivarian Republic of </t>
  </si>
  <si>
    <t xml:space="preserve">Vénézuela</t>
  </si>
  <si>
    <t xml:space="preserve">.vg</t>
  </si>
  <si>
    <t xml:space="preserve">VG</t>
  </si>
  <si>
    <t xml:space="preserve">Britische Jungferninseln</t>
  </si>
  <si>
    <t xml:space="preserve">Isole Vergini britanniche </t>
  </si>
  <si>
    <t xml:space="preserve">Virgin Islands, British </t>
  </si>
  <si>
    <t xml:space="preserve">Islas Vírgenes Británicas</t>
  </si>
  <si>
    <t xml:space="preserve">Îles Vierges britanniques</t>
  </si>
  <si>
    <t xml:space="preserve">.vi</t>
  </si>
  <si>
    <t xml:space="preserve">VI</t>
  </si>
  <si>
    <t xml:space="preserve">Amerikanische Jungferninseln</t>
  </si>
  <si>
    <t xml:space="preserve">Isole Vergini americane </t>
  </si>
  <si>
    <t xml:space="preserve">Virgin Islands, U.S. </t>
  </si>
  <si>
    <t xml:space="preserve">Islas Vírgenes de los Estados Unidos</t>
  </si>
  <si>
    <t xml:space="preserve">Îles Vierges des États-Unis</t>
  </si>
  <si>
    <t xml:space="preserve">.vn</t>
  </si>
  <si>
    <t xml:space="preserve">VN</t>
  </si>
  <si>
    <t xml:space="preserve">Vietnam </t>
  </si>
  <si>
    <t xml:space="preserve">Viet Nam </t>
  </si>
  <si>
    <t xml:space="preserve">.vu</t>
  </si>
  <si>
    <t xml:space="preserve">VU</t>
  </si>
  <si>
    <t xml:space="preserve">Vanuatu </t>
  </si>
  <si>
    <t xml:space="preserve">.ws</t>
  </si>
  <si>
    <t xml:space="preserve">WS</t>
  </si>
  <si>
    <t xml:space="preserve">Samoa </t>
  </si>
  <si>
    <t xml:space="preserve">XK</t>
  </si>
  <si>
    <t xml:space="preserve">.ye</t>
  </si>
  <si>
    <t xml:space="preserve">YE</t>
  </si>
  <si>
    <t xml:space="preserve">Jemen</t>
  </si>
  <si>
    <t xml:space="preserve">Yemen </t>
  </si>
  <si>
    <t xml:space="preserve">Yemen</t>
  </si>
  <si>
    <t xml:space="preserve">.za</t>
  </si>
  <si>
    <t xml:space="preserve">ZA</t>
  </si>
  <si>
    <t xml:space="preserve">Südafrika</t>
  </si>
  <si>
    <t xml:space="preserve">Sudafrica </t>
  </si>
  <si>
    <t xml:space="preserve">South Africa </t>
  </si>
  <si>
    <t xml:space="preserve">Sudáfrica</t>
  </si>
  <si>
    <t xml:space="preserve">Afrique du Sud</t>
  </si>
  <si>
    <t xml:space="preserve">.zm</t>
  </si>
  <si>
    <t xml:space="preserve">ZM</t>
  </si>
  <si>
    <t xml:space="preserve">Sambia</t>
  </si>
  <si>
    <t xml:space="preserve">Zambia </t>
  </si>
  <si>
    <t xml:space="preserve">Zambie</t>
  </si>
  <si>
    <t xml:space="preserve">.zw</t>
  </si>
  <si>
    <t xml:space="preserve">ZW</t>
  </si>
  <si>
    <t xml:space="preserve">Simbabwe</t>
  </si>
  <si>
    <t xml:space="preserve">Zimbabwe </t>
  </si>
  <si>
    <t xml:space="preserve">Zimbabue</t>
  </si>
  <si>
    <t xml:space="preserve">Durchschnitt Afrika</t>
  </si>
  <si>
    <t xml:space="preserve">media Africa</t>
  </si>
  <si>
    <t xml:space="preserve">Media África</t>
  </si>
  <si>
    <t xml:space="preserve">Durchschnitt Amerika</t>
  </si>
  <si>
    <t xml:space="preserve">media America</t>
  </si>
  <si>
    <t xml:space="preserve">Media Américas</t>
  </si>
  <si>
    <t xml:space="preserve">Durchschnitt Asien</t>
  </si>
  <si>
    <t xml:space="preserve">media Asia</t>
  </si>
  <si>
    <t xml:space="preserve">Media Asia</t>
  </si>
  <si>
    <t xml:space="preserve">Durchschnitt Europa</t>
  </si>
  <si>
    <t xml:space="preserve">media Europa</t>
  </si>
  <si>
    <t xml:space="preserve">Media Europa</t>
  </si>
  <si>
    <t xml:space="preserve">Durchschnitt Ozeanien</t>
  </si>
  <si>
    <t xml:space="preserve">media Ozeania</t>
  </si>
  <si>
    <t xml:space="preserve">Media Oceanía</t>
  </si>
  <si>
    <t xml:space="preserve">Durchschnitt Welt</t>
  </si>
  <si>
    <t xml:space="preserve">media mondo</t>
  </si>
  <si>
    <t xml:space="preserve">Media Mundo</t>
  </si>
  <si>
    <t xml:space="preserve">provenienza prevalente del resto dei fornitori</t>
  </si>
  <si>
    <t xml:space="preserve">Origen predominante del resto de proveedores</t>
  </si>
</sst>
</file>

<file path=xl/styles.xml><?xml version="1.0" encoding="utf-8"?>
<styleSheet xmlns="http://schemas.openxmlformats.org/spreadsheetml/2006/main">
  <numFmts count="17">
    <numFmt numFmtId="164" formatCode="General"/>
    <numFmt numFmtId="165" formatCode="General"/>
    <numFmt numFmtId="166" formatCode="#,##0"/>
    <numFmt numFmtId="167" formatCode="0\ %"/>
    <numFmt numFmtId="168" formatCode="0"/>
    <numFmt numFmtId="169" formatCode="0.0"/>
    <numFmt numFmtId="170" formatCode="* #,##0.00\ ;\-* #,##0.00\ ;* \-#\ ;@\ "/>
    <numFmt numFmtId="171" formatCode="* #,##0\ ;\-* #,##0\ ;* \-#\ ;@\ "/>
    <numFmt numFmtId="172" formatCode="0.000"/>
    <numFmt numFmtId="173" formatCode="#,##0.0_ ;\-#,##0.0\ "/>
    <numFmt numFmtId="174" formatCode="* #,##0.0\ ;\-* #,##0.0\ ;* \-#\ ;@\ "/>
    <numFmt numFmtId="175" formatCode="0.00"/>
    <numFmt numFmtId="176" formatCode="#,##0.00"/>
    <numFmt numFmtId="177" formatCode="dd/mm/yyyy"/>
    <numFmt numFmtId="178" formatCode="#,##0.0"/>
    <numFmt numFmtId="179" formatCode="* #,##0.000\ ;\-* #,##0.000\ ;* \-#.0\ ;@\ "/>
    <numFmt numFmtId="180" formatCode="@"/>
  </numFmts>
  <fonts count="95">
    <font>
      <sz val="11"/>
      <color rgb="FF000000"/>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sz val="12"/>
      <color rgb="FF000000"/>
      <name val="Calibri"/>
      <family val="2"/>
      <charset val="1"/>
    </font>
    <font>
      <b val="true"/>
      <sz val="24"/>
      <color rgb="FF000000"/>
      <name val="Calibri"/>
      <family val="2"/>
      <charset val="1"/>
    </font>
    <font>
      <sz val="10"/>
      <color rgb="FF333333"/>
      <name val="Calibri"/>
      <family val="2"/>
      <charset val="1"/>
    </font>
    <font>
      <sz val="11"/>
      <color rgb="FF000000"/>
      <name val="Arial"/>
      <family val="2"/>
      <charset val="1"/>
    </font>
    <font>
      <b val="true"/>
      <sz val="12"/>
      <color rgb="FFFFFFFF"/>
      <name val="Arial"/>
      <family val="2"/>
      <charset val="1"/>
    </font>
    <font>
      <b val="true"/>
      <sz val="16"/>
      <color rgb="FF99CC00"/>
      <name val="Arial"/>
      <family val="2"/>
      <charset val="1"/>
    </font>
    <font>
      <b val="true"/>
      <sz val="11"/>
      <color rgb="FF333333"/>
      <name val="Arial"/>
      <family val="2"/>
      <charset val="1"/>
    </font>
    <font>
      <b val="true"/>
      <sz val="11"/>
      <color rgb="FF99CC00"/>
      <name val="Arial"/>
      <family val="2"/>
      <charset val="1"/>
    </font>
    <font>
      <sz val="11"/>
      <color rgb="FF333333"/>
      <name val="Arial"/>
      <family val="2"/>
      <charset val="1"/>
    </font>
    <font>
      <u val="single"/>
      <sz val="11"/>
      <color rgb="FF0000D4"/>
      <name val="Calibri"/>
      <family val="2"/>
      <charset val="1"/>
    </font>
    <font>
      <b val="true"/>
      <u val="single"/>
      <sz val="11"/>
      <name val="Arial"/>
      <family val="2"/>
      <charset val="1"/>
    </font>
    <font>
      <b val="true"/>
      <u val="single"/>
      <sz val="11"/>
      <color rgb="FF000000"/>
      <name val="Arial"/>
      <family val="2"/>
      <charset val="1"/>
    </font>
    <font>
      <sz val="11"/>
      <name val="Arial"/>
      <family val="2"/>
      <charset val="1"/>
    </font>
    <font>
      <sz val="11"/>
      <color rgb="FF99CC00"/>
      <name val="Arial"/>
      <family val="2"/>
      <charset val="1"/>
    </font>
    <font>
      <b val="true"/>
      <sz val="11"/>
      <color rgb="FFFFFFFF"/>
      <name val="Arial"/>
      <family val="2"/>
      <charset val="1"/>
    </font>
    <font>
      <sz val="16"/>
      <color rgb="FF000000"/>
      <name val="Arial"/>
      <family val="2"/>
      <charset val="1"/>
    </font>
    <font>
      <sz val="11"/>
      <color rgb="FFFFFFFF"/>
      <name val="Arial"/>
      <family val="2"/>
      <charset val="1"/>
    </font>
    <font>
      <b val="true"/>
      <sz val="11"/>
      <color rgb="FF000000"/>
      <name val="Arial"/>
      <family val="2"/>
      <charset val="1"/>
    </font>
    <font>
      <b val="true"/>
      <sz val="11"/>
      <color rgb="FFFF0000"/>
      <name val="Arial"/>
      <family val="2"/>
      <charset val="1"/>
    </font>
    <font>
      <b val="true"/>
      <sz val="11"/>
      <color rgb="FFDD0806"/>
      <name val="Arial"/>
      <family val="2"/>
      <charset val="1"/>
    </font>
    <font>
      <sz val="11"/>
      <color rgb="FFFF0000"/>
      <name val="Arial"/>
      <family val="2"/>
      <charset val="1"/>
    </font>
    <font>
      <sz val="8"/>
      <color rgb="FF000000"/>
      <name val="Arial"/>
      <family val="2"/>
      <charset val="1"/>
    </font>
    <font>
      <sz val="6"/>
      <color rgb="FF000000"/>
      <name val="Arial"/>
      <family val="2"/>
      <charset val="1"/>
    </font>
    <font>
      <b val="true"/>
      <sz val="8"/>
      <color rgb="FFFF0000"/>
      <name val="Arial"/>
      <family val="2"/>
      <charset val="1"/>
    </font>
    <font>
      <sz val="11"/>
      <color rgb="FFFF0000"/>
      <name val="Calibri"/>
      <family val="2"/>
      <charset val="1"/>
    </font>
    <font>
      <b val="true"/>
      <sz val="9"/>
      <color rgb="FF333333"/>
      <name val="Arial"/>
      <family val="2"/>
      <charset val="1"/>
    </font>
    <font>
      <sz val="9"/>
      <color rgb="FF99CC00"/>
      <name val="Arial"/>
      <family val="2"/>
      <charset val="1"/>
    </font>
    <font>
      <sz val="9"/>
      <name val="Arial"/>
      <family val="2"/>
      <charset val="1"/>
    </font>
    <font>
      <sz val="11"/>
      <color rgb="FFC0C0C0"/>
      <name val="Arial"/>
      <family val="2"/>
      <charset val="1"/>
    </font>
    <font>
      <b val="true"/>
      <sz val="9"/>
      <color rgb="FF99CC00"/>
      <name val="Arial"/>
      <family val="2"/>
      <charset val="1"/>
    </font>
    <font>
      <b val="true"/>
      <sz val="9"/>
      <color rgb="FFFFFFFF"/>
      <name val="Arial"/>
      <family val="2"/>
      <charset val="1"/>
    </font>
    <font>
      <sz val="9"/>
      <color rgb="FF000000"/>
      <name val="Calibri"/>
      <family val="2"/>
      <charset val="1"/>
    </font>
    <font>
      <sz val="9"/>
      <color rgb="FF000000"/>
      <name val="Cambria"/>
      <family val="1"/>
      <charset val="1"/>
    </font>
    <font>
      <b val="true"/>
      <sz val="12"/>
      <color rgb="FF000000"/>
      <name val="Cambria"/>
      <family val="1"/>
      <charset val="1"/>
    </font>
    <font>
      <sz val="8"/>
      <color rgb="FFFFFFFF"/>
      <name val="Cambria"/>
      <family val="1"/>
      <charset val="1"/>
    </font>
    <font>
      <b val="true"/>
      <sz val="9"/>
      <color rgb="FF000000"/>
      <name val="Cambria"/>
      <family val="1"/>
      <charset val="1"/>
    </font>
    <font>
      <b val="true"/>
      <sz val="50"/>
      <color rgb="FF000000"/>
      <name val="Cambria"/>
      <family val="1"/>
      <charset val="1"/>
    </font>
    <font>
      <b val="true"/>
      <sz val="25"/>
      <color rgb="FF000000"/>
      <name val="Cambria"/>
      <family val="1"/>
      <charset val="1"/>
    </font>
    <font>
      <sz val="15"/>
      <color rgb="FFFFFFFF"/>
      <name val="Cambria"/>
      <family val="1"/>
      <charset val="1"/>
    </font>
    <font>
      <b val="true"/>
      <sz val="8"/>
      <color rgb="FF000000"/>
      <name val="Cambria"/>
      <family val="1"/>
      <charset val="1"/>
    </font>
    <font>
      <sz val="8"/>
      <color rgb="FF000000"/>
      <name val="Cambria"/>
      <family val="1"/>
      <charset val="1"/>
    </font>
    <font>
      <b val="true"/>
      <sz val="8"/>
      <color rgb="FFDD0806"/>
      <name val="Cambria"/>
      <family val="1"/>
      <charset val="1"/>
    </font>
    <font>
      <b val="true"/>
      <sz val="8"/>
      <color rgb="FFFFFFFF"/>
      <name val="Cambria"/>
      <family val="1"/>
      <charset val="1"/>
    </font>
    <font>
      <b val="true"/>
      <sz val="8"/>
      <name val="Cambria"/>
      <family val="1"/>
      <charset val="1"/>
    </font>
    <font>
      <b val="true"/>
      <sz val="20"/>
      <color rgb="FF000000"/>
      <name val="Cambria"/>
      <family val="1"/>
      <charset val="1"/>
    </font>
    <font>
      <b val="true"/>
      <sz val="12"/>
      <color rgb="FFFFFFFF"/>
      <name val="Cambria"/>
      <family val="1"/>
      <charset val="1"/>
    </font>
    <font>
      <b val="true"/>
      <sz val="15"/>
      <color rgb="FFFFFFFF"/>
      <name val="Cambria"/>
      <family val="1"/>
      <charset val="1"/>
    </font>
    <font>
      <b val="true"/>
      <sz val="9"/>
      <color rgb="FFFFFFFF"/>
      <name val="Cambria"/>
      <family val="1"/>
      <charset val="1"/>
    </font>
    <font>
      <sz val="8"/>
      <color rgb="FFFF0000"/>
      <name val="Cambria"/>
      <family val="1"/>
      <charset val="1"/>
    </font>
    <font>
      <sz val="8"/>
      <name val="Cambria"/>
      <family val="1"/>
      <charset val="1"/>
    </font>
    <font>
      <sz val="9"/>
      <color rgb="FFFF0000"/>
      <name val="Cambria"/>
      <family val="1"/>
      <charset val="1"/>
    </font>
    <font>
      <sz val="8"/>
      <color rgb="FF000000"/>
      <name val="Segoe UI"/>
      <family val="2"/>
      <charset val="1"/>
    </font>
    <font>
      <b val="true"/>
      <sz val="8"/>
      <color rgb="FF000000"/>
      <name val="Segoe UI"/>
      <family val="2"/>
      <charset val="1"/>
    </font>
    <font>
      <b val="true"/>
      <sz val="10"/>
      <color rgb="FF333333"/>
      <name val="Arial"/>
      <family val="2"/>
      <charset val="1"/>
    </font>
    <font>
      <sz val="10"/>
      <color rgb="FF99CC00"/>
      <name val="Arial"/>
      <family val="2"/>
      <charset val="1"/>
    </font>
    <font>
      <b val="true"/>
      <sz val="15"/>
      <color rgb="FF99CC00"/>
      <name val="Arial"/>
      <family val="2"/>
      <charset val="1"/>
    </font>
    <font>
      <sz val="10"/>
      <color rgb="FFFFFFFF"/>
      <name val="Arial"/>
      <family val="2"/>
      <charset val="1"/>
    </font>
    <font>
      <b val="true"/>
      <sz val="10"/>
      <color rgb="FFFFFFFF"/>
      <name val="Arial"/>
      <family val="2"/>
      <charset val="1"/>
    </font>
    <font>
      <sz val="10"/>
      <color rgb="FF333333"/>
      <name val="Arial"/>
      <family val="2"/>
      <charset val="1"/>
    </font>
    <font>
      <b val="true"/>
      <sz val="11"/>
      <color rgb="FF000000"/>
      <name val="Calibri"/>
      <family val="2"/>
      <charset val="1"/>
    </font>
    <font>
      <sz val="11"/>
      <name val="Wingdings 3"/>
      <family val="1"/>
      <charset val="1"/>
    </font>
    <font>
      <sz val="11"/>
      <color rgb="FFFFFFFF"/>
      <name val="Calibri"/>
      <family val="2"/>
      <charset val="1"/>
    </font>
    <font>
      <b val="true"/>
      <sz val="11"/>
      <color rgb="FF99CC00"/>
      <name val="Arial"/>
      <family val="2"/>
    </font>
    <font>
      <sz val="11"/>
      <color rgb="FF000000"/>
      <name val="Calibri"/>
      <family val="2"/>
    </font>
    <font>
      <b val="true"/>
      <sz val="11"/>
      <color rgb="FF4EE257"/>
      <name val="Arial"/>
      <family val="2"/>
      <charset val="1"/>
    </font>
    <font>
      <sz val="9"/>
      <color rgb="FF000000"/>
      <name val="Arial"/>
      <family val="2"/>
      <charset val="1"/>
    </font>
    <font>
      <sz val="8"/>
      <color rgb="FFFFFFFF"/>
      <name val="Arial"/>
      <family val="2"/>
      <charset val="1"/>
    </font>
    <font>
      <b val="true"/>
      <sz val="8"/>
      <color rgb="FFFFFFFF"/>
      <name val="Arial"/>
      <family val="2"/>
      <charset val="1"/>
    </font>
    <font>
      <b val="true"/>
      <sz val="8"/>
      <color rgb="FF000000"/>
      <name val="Arial"/>
      <family val="2"/>
      <charset val="1"/>
    </font>
    <font>
      <b val="true"/>
      <sz val="7"/>
      <color rgb="FF000000"/>
      <name val="Arial"/>
      <family val="2"/>
      <charset val="1"/>
    </font>
    <font>
      <sz val="7"/>
      <color rgb="FF000000"/>
      <name val="Arial"/>
      <family val="2"/>
      <charset val="1"/>
    </font>
    <font>
      <sz val="8"/>
      <color rgb="FFDD0806"/>
      <name val="Arial"/>
      <family val="2"/>
      <charset val="1"/>
    </font>
    <font>
      <b val="true"/>
      <sz val="12"/>
      <color rgb="FF000000"/>
      <name val="Arial"/>
      <family val="2"/>
      <charset val="1"/>
    </font>
    <font>
      <b val="true"/>
      <sz val="9"/>
      <color rgb="FF000000"/>
      <name val="Calibri"/>
      <family val="2"/>
      <charset val="1"/>
    </font>
    <font>
      <sz val="10"/>
      <color rgb="FF000000"/>
      <name val="Arial"/>
      <family val="2"/>
      <charset val="1"/>
    </font>
    <font>
      <u val="single"/>
      <sz val="11"/>
      <color rgb="FF000000"/>
      <name val="Calibri"/>
      <family val="2"/>
      <charset val="1"/>
    </font>
    <font>
      <sz val="11"/>
      <color rgb="FF404040"/>
      <name val="Calibri"/>
      <family val="2"/>
      <charset val="1"/>
    </font>
    <font>
      <sz val="11"/>
      <color rgb="FF404040"/>
      <name val="Arial"/>
      <family val="1"/>
      <charset val="1"/>
    </font>
    <font>
      <sz val="10"/>
      <name val="Arial"/>
      <family val="2"/>
      <charset val="1"/>
    </font>
    <font>
      <sz val="11"/>
      <color rgb="FF008000"/>
      <name val="Calibri"/>
      <family val="2"/>
      <charset val="1"/>
    </font>
    <font>
      <sz val="11"/>
      <color rgb="FF0000D4"/>
      <name val="Arial"/>
      <family val="2"/>
      <charset val="1"/>
    </font>
    <font>
      <sz val="8"/>
      <color rgb="FF0000D4"/>
      <name val="Arial"/>
      <family val="2"/>
      <charset val="1"/>
    </font>
    <font>
      <sz val="11"/>
      <color rgb="FF000000"/>
      <name val="ArialMT"/>
      <family val="0"/>
      <charset val="1"/>
    </font>
    <font>
      <sz val="10"/>
      <name val="Verdana"/>
      <family val="2"/>
      <charset val="1"/>
    </font>
  </fonts>
  <fills count="23">
    <fill>
      <patternFill patternType="none"/>
    </fill>
    <fill>
      <patternFill patternType="gray125"/>
    </fill>
    <fill>
      <patternFill patternType="solid">
        <fgColor rgb="FF000000"/>
        <bgColor rgb="FF000080"/>
      </patternFill>
    </fill>
    <fill>
      <patternFill patternType="solid">
        <fgColor rgb="FF808080"/>
        <bgColor rgb="FF969696"/>
      </patternFill>
    </fill>
    <fill>
      <patternFill patternType="solid">
        <fgColor rgb="FFDDDDDD"/>
        <bgColor rgb="FFE6E6E6"/>
      </patternFill>
    </fill>
    <fill>
      <patternFill patternType="solid">
        <fgColor rgb="FFFFCCCC"/>
        <bgColor rgb="FFFFCC99"/>
      </patternFill>
    </fill>
    <fill>
      <patternFill patternType="solid">
        <fgColor rgb="FFCC0000"/>
        <bgColor rgb="FFDD0806"/>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99CC00"/>
        <bgColor rgb="FFCCCC00"/>
      </patternFill>
    </fill>
    <fill>
      <patternFill patternType="solid">
        <fgColor rgb="FFDD0806"/>
        <bgColor rgb="FFCC0000"/>
      </patternFill>
    </fill>
    <fill>
      <patternFill patternType="solid">
        <fgColor rgb="FFFFCC99"/>
        <bgColor rgb="FFFFCCCC"/>
      </patternFill>
    </fill>
    <fill>
      <patternFill patternType="solid">
        <fgColor rgb="FFFFFF00"/>
        <bgColor rgb="FFFCF305"/>
      </patternFill>
    </fill>
    <fill>
      <patternFill patternType="solid">
        <fgColor rgb="FF333300"/>
        <bgColor rgb="FF333333"/>
      </patternFill>
    </fill>
    <fill>
      <patternFill patternType="solid">
        <fgColor rgb="FFA2BD90"/>
        <bgColor rgb="FFA6A6A6"/>
      </patternFill>
    </fill>
    <fill>
      <patternFill patternType="solid">
        <fgColor rgb="FF90713A"/>
        <bgColor rgb="FF808080"/>
      </patternFill>
    </fill>
    <fill>
      <patternFill patternType="solid">
        <fgColor rgb="FFFCF305"/>
        <bgColor rgb="FFFFFF00"/>
      </patternFill>
    </fill>
    <fill>
      <patternFill patternType="solid">
        <fgColor rgb="FFE6E6E6"/>
        <bgColor rgb="FFDDDDDD"/>
      </patternFill>
    </fill>
    <fill>
      <patternFill patternType="solid">
        <fgColor rgb="FFFF6600"/>
        <bgColor rgb="FFEB613D"/>
      </patternFill>
    </fill>
    <fill>
      <patternFill patternType="solid">
        <fgColor rgb="FFEB613D"/>
        <bgColor rgb="FFFF6600"/>
      </patternFill>
    </fill>
    <fill>
      <patternFill patternType="solid">
        <fgColor rgb="FF33CC66"/>
        <bgColor rgb="FF4EE257"/>
      </patternFill>
    </fill>
    <fill>
      <patternFill patternType="solid">
        <fgColor rgb="FFCCCC00"/>
        <bgColor rgb="FF99CC00"/>
      </patternFill>
    </fill>
  </fills>
  <borders count="1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9CC00"/>
      </left>
      <right style="thin">
        <color rgb="FF99CC00"/>
      </right>
      <top style="thin">
        <color rgb="FF99CC00"/>
      </top>
      <bottom style="thin">
        <color rgb="FF99CC00"/>
      </bottom>
      <diagonal/>
    </border>
    <border diagonalUp="false" diagonalDown="false">
      <left/>
      <right/>
      <top style="thin">
        <color rgb="FF99CC00"/>
      </top>
      <bottom style="thin">
        <color rgb="FF99CC00"/>
      </bottom>
      <diagonal/>
    </border>
    <border diagonalUp="false" diagonalDown="false">
      <left/>
      <right/>
      <top style="thin">
        <color rgb="FF969696"/>
      </top>
      <bottom style="thin">
        <color rgb="FF969696"/>
      </bottom>
      <diagonal/>
    </border>
    <border diagonalUp="false" diagonalDown="false">
      <left/>
      <right/>
      <top style="thin">
        <color rgb="FF99CC00"/>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top style="thin">
        <color rgb="FF969696"/>
      </top>
      <bottom style="thin">
        <color rgb="FF99CC00"/>
      </bottom>
      <diagonal/>
    </border>
    <border diagonalUp="false" diagonalDown="false">
      <left/>
      <right/>
      <top/>
      <bottom style="thin">
        <color rgb="FF99CC00"/>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ck">
        <color rgb="FFDD0806"/>
      </left>
      <right/>
      <top style="thick">
        <color rgb="FFDD0806"/>
      </top>
      <bottom style="thick">
        <color rgb="FFDD0806"/>
      </bottom>
      <diagonal/>
    </border>
    <border diagonalUp="false" diagonalDown="false">
      <left style="thick">
        <color rgb="FF90713A"/>
      </left>
      <right style="thick">
        <color rgb="FF90713A"/>
      </right>
      <top style="thick">
        <color rgb="FF90713A"/>
      </top>
      <bottom style="thick">
        <color rgb="FF90713A"/>
      </bottom>
      <diagonal/>
    </border>
    <border diagonalUp="false" diagonalDown="false">
      <left style="thick">
        <color rgb="FFDD0806"/>
      </left>
      <right style="thick">
        <color rgb="FFDD0806"/>
      </right>
      <top style="thick">
        <color rgb="FFDD0806"/>
      </top>
      <bottom style="thick">
        <color rgb="FFDD0806"/>
      </bottom>
      <diagonal/>
    </border>
    <border diagonalUp="false" diagonalDown="false">
      <left/>
      <right/>
      <top style="medium"/>
      <bottom style="medium"/>
      <diagonal/>
    </border>
    <border diagonalUp="false" diagonalDown="false">
      <left/>
      <right style="dotted"/>
      <top style="medium"/>
      <bottom/>
      <diagonal/>
    </border>
    <border diagonalUp="false" diagonalDown="false">
      <left style="dotted"/>
      <right style="dotted"/>
      <top style="medium"/>
      <bottom/>
      <diagonal/>
    </border>
    <border diagonalUp="false" diagonalDown="false">
      <left style="dotted"/>
      <right/>
      <top style="medium"/>
      <bottom/>
      <diagonal/>
    </border>
    <border diagonalUp="false" diagonalDown="false">
      <left/>
      <right/>
      <top style="dashed"/>
      <bottom/>
      <diagonal/>
    </border>
    <border diagonalUp="false" diagonalDown="false">
      <left style="dashed"/>
      <right style="dashed"/>
      <top/>
      <bottom/>
      <diagonal/>
    </border>
    <border diagonalUp="false" diagonalDown="false">
      <left/>
      <right style="dotted"/>
      <top/>
      <bottom/>
      <diagonal/>
    </border>
    <border diagonalUp="false" diagonalDown="false">
      <left style="dotted"/>
      <right style="dotted"/>
      <top/>
      <bottom/>
      <diagonal/>
    </border>
    <border diagonalUp="false" diagonalDown="false">
      <left style="dotted"/>
      <right/>
      <top/>
      <bottom/>
      <diagonal/>
    </border>
    <border diagonalUp="false" diagonalDown="false">
      <left style="thick">
        <color rgb="FFDD0806"/>
      </left>
      <right/>
      <top style="thick">
        <color rgb="FFDD0806"/>
      </top>
      <bottom/>
      <diagonal/>
    </border>
    <border diagonalUp="false" diagonalDown="false">
      <left style="dashed"/>
      <right style="dashed"/>
      <top style="thick">
        <color rgb="FFDD0806"/>
      </top>
      <bottom/>
      <diagonal/>
    </border>
    <border diagonalUp="false" diagonalDown="false">
      <left/>
      <right style="thick">
        <color rgb="FFDD0806"/>
      </right>
      <top style="thick">
        <color rgb="FFDD0806"/>
      </top>
      <bottom/>
      <diagonal/>
    </border>
    <border diagonalUp="false" diagonalDown="false">
      <left style="thick">
        <color rgb="FFDD0806"/>
      </left>
      <right/>
      <top/>
      <bottom/>
      <diagonal/>
    </border>
    <border diagonalUp="false" diagonalDown="false">
      <left/>
      <right style="thick">
        <color rgb="FFDD0806"/>
      </right>
      <top/>
      <bottom/>
      <diagonal/>
    </border>
    <border diagonalUp="false" diagonalDown="false">
      <left style="thick">
        <color rgb="FFDD0806"/>
      </left>
      <right/>
      <top/>
      <bottom style="thick">
        <color rgb="FFDD0806"/>
      </bottom>
      <diagonal/>
    </border>
    <border diagonalUp="false" diagonalDown="false">
      <left style="dashed"/>
      <right style="dashed"/>
      <top/>
      <bottom style="thick">
        <color rgb="FFDD0806"/>
      </bottom>
      <diagonal/>
    </border>
    <border diagonalUp="false" diagonalDown="false">
      <left style="medium"/>
      <right/>
      <top/>
      <bottom style="medium"/>
      <diagonal/>
    </border>
    <border diagonalUp="false" diagonalDown="false">
      <left/>
      <right/>
      <top/>
      <bottom style="medium"/>
      <diagonal/>
    </border>
    <border diagonalUp="false" diagonalDown="false">
      <left/>
      <right style="thick">
        <color rgb="FFDD0806"/>
      </right>
      <top/>
      <bottom style="thick">
        <color rgb="FFDD0806"/>
      </botto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style="dotted"/>
      <right/>
      <top/>
      <bottom style="medium"/>
      <diagonal/>
    </border>
    <border diagonalUp="false" diagonalDown="false">
      <left/>
      <right style="medium"/>
      <top/>
      <bottom style="medium"/>
      <diagonal/>
    </border>
    <border diagonalUp="false" diagonalDown="false">
      <left/>
      <right/>
      <top style="dashed"/>
      <bottom style="dashed"/>
      <diagonal/>
    </border>
    <border diagonalUp="false" diagonalDown="false">
      <left style="thick">
        <color rgb="FFDD0806"/>
      </left>
      <right style="thick">
        <color rgb="FFDD0806"/>
      </right>
      <top style="thick">
        <color rgb="FFDD0806"/>
      </top>
      <bottom style="dashed"/>
      <diagonal/>
    </border>
    <border diagonalUp="false" diagonalDown="false">
      <left/>
      <right style="thick">
        <color rgb="FFDD0806"/>
      </right>
      <top style="dashed"/>
      <bottom style="dashed"/>
      <diagonal/>
    </border>
    <border diagonalUp="false" diagonalDown="false">
      <left style="thick">
        <color rgb="FFDD0806"/>
      </left>
      <right style="thick">
        <color rgb="FFDD0806"/>
      </right>
      <top/>
      <bottom/>
      <diagonal/>
    </border>
    <border diagonalUp="false" diagonalDown="false">
      <left style="thick">
        <color rgb="FFDD0806"/>
      </left>
      <right style="thick">
        <color rgb="FFDD0806"/>
      </right>
      <top style="dashed"/>
      <bottom style="dashed"/>
      <diagonal/>
    </border>
    <border diagonalUp="false" diagonalDown="false">
      <left/>
      <right/>
      <top style="dashed"/>
      <bottom style="medium"/>
      <diagonal/>
    </border>
    <border diagonalUp="false" diagonalDown="false">
      <left style="thick">
        <color rgb="FFDD0806"/>
      </left>
      <right style="thick">
        <color rgb="FFDD0806"/>
      </right>
      <top/>
      <bottom style="medium"/>
      <diagonal/>
    </border>
    <border diagonalUp="false" diagonalDown="false">
      <left style="thick">
        <color rgb="FFDD0806"/>
      </left>
      <right style="thick">
        <color rgb="FFDD0806"/>
      </right>
      <top style="dashed"/>
      <bottom/>
      <diagonal/>
    </border>
    <border diagonalUp="false" diagonalDown="false">
      <left style="thick">
        <color rgb="FFDD0806"/>
      </left>
      <right/>
      <top/>
      <bottom style="dashed"/>
      <diagonal/>
    </border>
    <border diagonalUp="false" diagonalDown="false">
      <left/>
      <right style="thick">
        <color rgb="FFDD0806"/>
      </right>
      <top/>
      <bottom style="dashed"/>
      <diagonal/>
    </border>
    <border diagonalUp="false" diagonalDown="false">
      <left style="thick">
        <color rgb="FFDD0806"/>
      </left>
      <right/>
      <top style="dashed"/>
      <bottom style="dashed"/>
      <diagonal/>
    </border>
    <border diagonalUp="false" diagonalDown="false">
      <left style="thick">
        <color rgb="FFDD0806"/>
      </left>
      <right/>
      <top style="dashed"/>
      <bottom style="thick">
        <color rgb="FFDD0806"/>
      </bottom>
      <diagonal/>
    </border>
    <border diagonalUp="false" diagonalDown="false">
      <left/>
      <right style="thick">
        <color rgb="FFDD0806"/>
      </right>
      <top style="dashed"/>
      <bottom/>
      <diagonal/>
    </border>
    <border diagonalUp="false" diagonalDown="false">
      <left style="thick">
        <color rgb="FFDD0806"/>
      </left>
      <right style="thick">
        <color rgb="FFDD0806"/>
      </right>
      <top/>
      <bottom style="dashed"/>
      <diagonal/>
    </border>
    <border diagonalUp="false" diagonalDown="false">
      <left/>
      <right/>
      <top style="medium"/>
      <bottom style="dashed"/>
      <diagonal/>
    </border>
    <border diagonalUp="false" diagonalDown="false">
      <left style="thick">
        <color rgb="FFDD0806"/>
      </left>
      <right style="thick">
        <color rgb="FFDD0806"/>
      </right>
      <top/>
      <bottom style="thick">
        <color rgb="FFDD0806"/>
      </bottom>
      <diagonal/>
    </border>
    <border diagonalUp="false" diagonalDown="false">
      <left style="thick">
        <color rgb="FFDD0806"/>
      </left>
      <right style="thick">
        <color rgb="FFDD0806"/>
      </right>
      <top style="thick">
        <color rgb="FFDD0806"/>
      </top>
      <bottom/>
      <diagonal/>
    </border>
    <border diagonalUp="false" diagonalDown="false">
      <left style="thin">
        <color rgb="FF969696"/>
      </left>
      <right/>
      <top style="thin">
        <color rgb="FF969696"/>
      </top>
      <bottom style="thin">
        <color rgb="FF969696"/>
      </bottom>
      <diagonal/>
    </border>
    <border diagonalUp="false" diagonalDown="false">
      <left/>
      <right style="thin">
        <color rgb="FF969696"/>
      </right>
      <top style="thin">
        <color rgb="FF969696"/>
      </top>
      <bottom style="thin">
        <color rgb="FF969696"/>
      </bottom>
      <diagonal/>
    </border>
    <border diagonalUp="false" diagonalDown="false">
      <left style="thin">
        <color rgb="FF969696"/>
      </left>
      <right/>
      <top style="thin">
        <color rgb="FF969696"/>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bottom style="thin">
        <color rgb="FF969696"/>
      </bottom>
      <diagonal/>
    </border>
    <border diagonalUp="false" diagonalDown="false">
      <left/>
      <right style="thin">
        <color rgb="FF969696"/>
      </right>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right/>
      <top/>
      <bottom style="thick">
        <color rgb="FF99CC00"/>
      </bottom>
      <diagonal/>
    </border>
    <border diagonalUp="false" diagonalDown="false">
      <left/>
      <right/>
      <top/>
      <bottom style="dashed">
        <color rgb="FF99CC00"/>
      </bottom>
      <diagonal/>
    </border>
    <border diagonalUp="false" diagonalDown="false">
      <left/>
      <right/>
      <top style="dashed">
        <color rgb="FF99CC00"/>
      </top>
      <bottom style="dashed">
        <color rgb="FF99CC00"/>
      </bottom>
      <diagonal/>
    </border>
    <border diagonalUp="false" diagonalDown="false">
      <left/>
      <right/>
      <top style="dashed">
        <color rgb="FF99CC00"/>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dashed"/>
      <diagonal/>
    </border>
    <border diagonalUp="false" diagonalDown="false">
      <left style="medium"/>
      <right/>
      <top style="dashed"/>
      <bottom style="dashed"/>
      <diagonal/>
    </border>
    <border diagonalUp="false" diagonalDown="false">
      <left/>
      <right style="medium"/>
      <top style="dashed"/>
      <bottom style="dashed"/>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medium"/>
      <right/>
      <top style="dotted"/>
      <bottom style="dotted"/>
      <diagonal/>
    </border>
    <border diagonalUp="false" diagonalDown="false">
      <left/>
      <right style="medium"/>
      <top style="dotted"/>
      <bottom style="dotted"/>
      <diagonal/>
    </border>
    <border diagonalUp="false" diagonalDown="false">
      <left/>
      <right/>
      <top style="dotted"/>
      <bottom style="dotted"/>
      <diagonal/>
    </border>
    <border diagonalUp="false" diagonalDown="false">
      <left/>
      <right style="medium"/>
      <top style="dotted"/>
      <bottom/>
      <diagonal/>
    </border>
    <border diagonalUp="false" diagonalDown="false">
      <left style="medium"/>
      <right/>
      <top style="dotted"/>
      <bottom/>
      <diagonal/>
    </border>
    <border diagonalUp="false" diagonalDown="false">
      <left/>
      <right/>
      <top style="dotted"/>
      <bottom/>
      <diagonal/>
    </border>
    <border diagonalUp="false" diagonalDown="false">
      <left/>
      <right style="medium"/>
      <top style="dashed"/>
      <bottom style="dotted"/>
      <diagonal/>
    </border>
    <border diagonalUp="false" diagonalDown="false">
      <left style="medium"/>
      <right/>
      <top/>
      <bottom style="dotted"/>
      <diagonal/>
    </border>
    <border diagonalUp="false" diagonalDown="false">
      <left/>
      <right style="medium"/>
      <top/>
      <bottom style="dotted"/>
      <diagonal/>
    </border>
    <border diagonalUp="false" diagonalDown="false">
      <left/>
      <right/>
      <top/>
      <bottom style="dotted"/>
      <diagonal/>
    </border>
    <border diagonalUp="false" diagonalDown="false">
      <left style="medium"/>
      <right/>
      <top style="dashed"/>
      <bottom style="medium"/>
      <diagonal/>
    </border>
    <border diagonalUp="false" diagonalDown="false">
      <left/>
      <right style="medium"/>
      <top style="dashed"/>
      <bottom style="medium"/>
      <diagonal/>
    </border>
    <border diagonalUp="false" diagonalDown="false">
      <left style="medium"/>
      <right/>
      <top style="dotted"/>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hair"/>
      <right style="hair"/>
      <top style="hair"/>
      <bottom style="hair"/>
      <diagonal/>
    </border>
    <border diagonalUp="false" diagonalDown="false">
      <left/>
      <right/>
      <top style="hair">
        <color rgb="FF979700"/>
      </top>
      <bottom style="hair">
        <color rgb="FF979700"/>
      </bottom>
      <diagonal/>
    </border>
    <border diagonalUp="false" diagonalDown="false">
      <left/>
      <right/>
      <top/>
      <bottom style="hair">
        <color rgb="FFA6A6A6"/>
      </bottom>
      <diagonal/>
    </border>
    <border diagonalUp="false" diagonalDown="false">
      <left/>
      <right/>
      <top style="hair">
        <color rgb="FF979700"/>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8"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630">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15" fillId="10" borderId="2" xfId="0" applyFont="true" applyBorder="true" applyAlignment="true" applyProtection="true">
      <alignment horizontal="left" vertical="center" textRotation="0" wrapText="false" indent="0" shrinkToFit="false"/>
      <protection locked="false" hidden="false"/>
    </xf>
    <xf numFmtId="165" fontId="16" fillId="9" borderId="0" xfId="0" applyFont="true" applyBorder="true" applyAlignment="true" applyProtection="true">
      <alignment horizontal="general" vertical="bottom" textRotation="0" wrapText="false" indent="0" shrinkToFit="false"/>
      <protection locked="true" hidden="false"/>
    </xf>
    <xf numFmtId="165" fontId="17" fillId="9" borderId="0" xfId="0" applyFont="true" applyBorder="false" applyAlignment="true" applyProtection="true">
      <alignment horizontal="left" vertical="center" textRotation="0" wrapText="false" indent="0" shrinkToFit="false"/>
      <protection locked="true" hidden="false"/>
    </xf>
    <xf numFmtId="164" fontId="17" fillId="9" borderId="0" xfId="0" applyFont="true" applyBorder="false" applyAlignment="true" applyProtection="true">
      <alignment horizontal="general" vertical="center" textRotation="0" wrapText="false" indent="0" shrinkToFit="false"/>
      <protection locked="true" hidden="false"/>
    </xf>
    <xf numFmtId="165" fontId="18" fillId="9" borderId="0" xfId="0" applyFont="true" applyBorder="true" applyAlignment="true" applyProtection="true">
      <alignment horizontal="left" vertical="center" textRotation="0" wrapText="false" indent="0" shrinkToFit="false"/>
      <protection locked="true" hidden="false"/>
    </xf>
    <xf numFmtId="165" fontId="19" fillId="9" borderId="0" xfId="0" applyFont="true" applyBorder="true" applyAlignment="true" applyProtection="true">
      <alignment horizontal="left" vertical="top" textRotation="0" wrapText="true" indent="0" shrinkToFit="false"/>
      <protection locked="true" hidden="false"/>
    </xf>
    <xf numFmtId="165" fontId="21" fillId="9" borderId="0" xfId="20" applyFont="true" applyBorder="true" applyAlignment="true" applyProtection="true">
      <alignment horizontal="left" vertical="top" textRotation="0" wrapText="true" indent="0" shrinkToFit="false"/>
      <protection locked="true" hidden="false"/>
    </xf>
    <xf numFmtId="165" fontId="19" fillId="9" borderId="0" xfId="0" applyFont="true" applyBorder="false" applyAlignment="true" applyProtection="true">
      <alignment horizontal="general" vertical="top" textRotation="0" wrapText="true" indent="0" shrinkToFit="false"/>
      <protection locked="true" hidden="false"/>
    </xf>
    <xf numFmtId="165" fontId="22" fillId="0" borderId="0" xfId="0" applyFont="true" applyBorder="true" applyAlignment="false" applyProtection="false">
      <alignment horizontal="general" vertical="bottom" textRotation="0" wrapText="false" indent="0" shrinkToFit="false"/>
      <protection locked="true" hidden="false"/>
    </xf>
    <xf numFmtId="164" fontId="21" fillId="9" borderId="0" xfId="0" applyFont="true" applyBorder="true" applyAlignment="true" applyProtection="true">
      <alignment horizontal="right" vertical="top" textRotation="0" wrapText="true" indent="0" shrinkToFit="false"/>
      <protection locked="true" hidden="false"/>
    </xf>
    <xf numFmtId="165" fontId="19" fillId="9" borderId="0" xfId="0" applyFont="true" applyBorder="false" applyAlignment="true" applyProtection="true">
      <alignment horizontal="general" vertical="center" textRotation="0" wrapText="true" indent="0" shrinkToFit="false"/>
      <protection locked="true" hidden="false"/>
    </xf>
    <xf numFmtId="165" fontId="21" fillId="9" borderId="0" xfId="20" applyFont="true" applyBorder="true" applyAlignment="true" applyProtection="true">
      <alignment horizontal="left" vertical="center" textRotation="0" wrapText="true" indent="0" shrinkToFit="false"/>
      <protection locked="true" hidden="false"/>
    </xf>
    <xf numFmtId="164" fontId="23" fillId="9" borderId="0" xfId="0" applyFont="true" applyBorder="false" applyAlignment="true" applyProtection="true">
      <alignment horizontal="left" vertical="center" textRotation="0" wrapText="true" indent="0" shrinkToFit="false"/>
      <protection locked="true" hidden="false"/>
    </xf>
    <xf numFmtId="164" fontId="19" fillId="9" borderId="0" xfId="0" applyFont="true" applyBorder="false" applyAlignment="true" applyProtection="true">
      <alignment horizontal="left" vertical="center" textRotation="0" wrapText="true" indent="0" shrinkToFit="false"/>
      <protection locked="true" hidden="false"/>
    </xf>
    <xf numFmtId="165" fontId="24" fillId="9" borderId="3"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false" indent="0" shrinkToFit="false"/>
      <protection locked="true" hidden="false"/>
    </xf>
    <xf numFmtId="164" fontId="19" fillId="9" borderId="0" xfId="0" applyFont="true" applyBorder="false" applyAlignment="true" applyProtection="true">
      <alignment horizontal="left" vertical="center" textRotation="0" wrapText="false" indent="0" shrinkToFit="false"/>
      <protection locked="true" hidden="false"/>
    </xf>
    <xf numFmtId="165" fontId="19" fillId="9" borderId="4" xfId="0" applyFont="true" applyBorder="true" applyAlignment="true" applyProtection="true">
      <alignment horizontal="left" vertical="center" textRotation="0" wrapText="false" indent="0" shrinkToFit="false"/>
      <protection locked="true" hidden="false"/>
    </xf>
    <xf numFmtId="165" fontId="25" fillId="11"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false" indent="0" shrinkToFit="false"/>
      <protection locked="true" hidden="false"/>
    </xf>
    <xf numFmtId="165" fontId="17" fillId="0"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true" indent="0" shrinkToFit="false"/>
      <protection locked="true" hidden="false"/>
    </xf>
    <xf numFmtId="165" fontId="17" fillId="0" borderId="0" xfId="0" applyFont="true" applyBorder="true" applyAlignment="true" applyProtection="true">
      <alignment horizontal="left" vertical="center" textRotation="0" wrapText="true" indent="0" shrinkToFit="false"/>
      <protection locked="true" hidden="false"/>
    </xf>
    <xf numFmtId="165" fontId="19" fillId="9"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0" shrinkToFit="false"/>
      <protection locked="true" hidden="false"/>
    </xf>
    <xf numFmtId="165" fontId="16" fillId="9" borderId="0" xfId="0" applyFont="true" applyBorder="true" applyAlignment="true" applyProtection="false">
      <alignment horizontal="left" vertical="center" textRotation="0" wrapText="false" indent="0" shrinkToFit="false"/>
      <protection locked="true" hidden="false"/>
    </xf>
    <xf numFmtId="165" fontId="19" fillId="9" borderId="0" xfId="0" applyFont="true" applyBorder="false" applyAlignment="true" applyProtection="false">
      <alignment horizontal="left"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false" indent="0" shrinkToFit="false"/>
      <protection locked="true" hidden="false"/>
    </xf>
    <xf numFmtId="165" fontId="17" fillId="9" borderId="4" xfId="0" applyFont="true" applyBorder="true" applyAlignment="true" applyProtection="fals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false" hidden="false"/>
    </xf>
    <xf numFmtId="165" fontId="19" fillId="9" borderId="4" xfId="0" applyFont="true" applyBorder="true" applyAlignment="true" applyProtection="false">
      <alignment horizontal="left" vertical="center" textRotation="0" wrapText="false" indent="1" shrinkToFit="false"/>
      <protection locked="true" hidden="false"/>
    </xf>
    <xf numFmtId="164" fontId="20" fillId="9" borderId="3" xfId="20" applyFont="true" applyBorder="true" applyAlignment="true" applyProtection="true">
      <alignment horizontal="left" vertical="center" textRotation="0" wrapText="false" indent="1" shrinkToFit="false"/>
      <protection locked="false" hidden="false"/>
    </xf>
    <xf numFmtId="164" fontId="14" fillId="9"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left" vertical="center" textRotation="0" wrapText="false" indent="1" shrinkToFit="false"/>
      <protection locked="true" hidden="false"/>
    </xf>
    <xf numFmtId="164" fontId="28"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true" applyAlignment="true" applyProtection="false">
      <alignment horizontal="left" vertical="center" textRotation="0" wrapText="false" indent="1" shrinkToFit="false"/>
      <protection locked="true" hidden="false"/>
    </xf>
    <xf numFmtId="165" fontId="17" fillId="9" borderId="4" xfId="0" applyFont="true" applyBorder="true" applyAlignment="true" applyProtection="false">
      <alignment horizontal="left" vertical="center" textRotation="0" wrapText="true" indent="1" shrinkToFit="false"/>
      <protection locked="true" hidden="false"/>
    </xf>
    <xf numFmtId="164" fontId="28"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false" applyAlignment="true" applyProtection="false">
      <alignment horizontal="left" vertical="center" textRotation="0" wrapText="false" indent="0" shrinkToFit="false"/>
      <protection locked="true" hidden="false"/>
    </xf>
    <xf numFmtId="165" fontId="19" fillId="9" borderId="4" xfId="0" applyFont="true" applyBorder="true" applyAlignment="true" applyProtection="false">
      <alignment horizontal="left" vertical="center" textRotation="0" wrapText="true" indent="1"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true" hidden="false"/>
    </xf>
    <xf numFmtId="164" fontId="14" fillId="9" borderId="0" xfId="0" applyFont="true" applyBorder="false" applyAlignment="true" applyProtection="true">
      <alignment horizontal="left" vertical="center" textRotation="0" wrapText="false" indent="0" shrinkToFit="false"/>
      <protection locked="true" hidden="false"/>
    </xf>
    <xf numFmtId="165" fontId="16" fillId="9" borderId="0" xfId="0" applyFont="true" applyBorder="true" applyAlignment="true" applyProtection="true">
      <alignment horizontal="left" vertical="center" textRotation="0" wrapText="false" indent="0" shrinkToFit="false"/>
      <protection locked="true" hidden="false"/>
    </xf>
    <xf numFmtId="165" fontId="19" fillId="12" borderId="0" xfId="0" applyFont="true" applyBorder="true" applyAlignment="true" applyProtection="true">
      <alignment horizontal="left" vertical="center" textRotation="0" wrapText="true" indent="0" shrinkToFit="false"/>
      <protection locked="true" hidden="false"/>
    </xf>
    <xf numFmtId="165" fontId="17" fillId="9" borderId="4" xfId="0" applyFont="true" applyBorder="true" applyAlignment="true" applyProtection="tru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true" hidden="false"/>
    </xf>
    <xf numFmtId="165" fontId="19" fillId="9" borderId="4" xfId="0" applyFont="true" applyBorder="true" applyAlignment="true" applyProtection="true">
      <alignment horizontal="left" vertical="center" textRotation="0" wrapText="false" indent="1"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fals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true" hidden="false"/>
    </xf>
    <xf numFmtId="166" fontId="14" fillId="9" borderId="3" xfId="0" applyFont="true" applyBorder="true" applyAlignment="true" applyProtection="true">
      <alignment horizontal="left" vertical="center" textRotation="0" wrapText="false" indent="1" shrinkToFit="false"/>
      <protection locked="false" hidden="false"/>
    </xf>
    <xf numFmtId="165" fontId="14" fillId="9" borderId="5" xfId="0" applyFont="true" applyBorder="true" applyAlignment="true" applyProtection="true">
      <alignment horizontal="left" vertical="center" textRotation="0" wrapText="false" indent="0" shrinkToFit="false"/>
      <protection locked="true" hidden="false"/>
    </xf>
    <xf numFmtId="166" fontId="19" fillId="9" borderId="4" xfId="0" applyFont="true" applyBorder="true" applyAlignment="true" applyProtection="true">
      <alignment horizontal="left" vertical="center" textRotation="0" wrapText="false" indent="1" shrinkToFit="false"/>
      <protection locked="true" hidden="false"/>
    </xf>
    <xf numFmtId="164" fontId="28"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true" applyAlignment="true" applyProtection="true">
      <alignment horizontal="left" vertical="center" textRotation="0" wrapText="false" indent="1" shrinkToFit="false"/>
      <protection locked="true" hidden="false"/>
    </xf>
    <xf numFmtId="167" fontId="24" fillId="9" borderId="3" xfId="0" applyFont="true" applyBorder="true" applyAlignment="true" applyProtection="true">
      <alignment horizontal="left" vertical="center" textRotation="0" wrapText="false" indent="1" shrinkToFit="false"/>
      <protection locked="fals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6" fontId="24" fillId="9" borderId="0"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false" indent="1" shrinkToFit="false"/>
      <protection locked="true" hidden="false"/>
    </xf>
    <xf numFmtId="167" fontId="24" fillId="9" borderId="0" xfId="0" applyFont="true" applyBorder="true" applyAlignment="true" applyProtection="true">
      <alignment horizontal="left" vertical="center" textRotation="0" wrapText="false" indent="1" shrinkToFit="false"/>
      <protection locked="false" hidden="false"/>
    </xf>
    <xf numFmtId="167" fontId="30" fillId="9" borderId="0" xfId="0" applyFont="true" applyBorder="true" applyAlignment="true" applyProtection="true">
      <alignment horizontal="left" vertical="center" textRotation="0" wrapText="false" indent="1" shrinkToFit="false"/>
      <protection locked="true" hidden="false"/>
    </xf>
    <xf numFmtId="165" fontId="31"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center" vertical="center" textRotation="0" wrapText="false" indent="0" shrinkToFit="false"/>
      <protection locked="true" hidden="false"/>
    </xf>
    <xf numFmtId="167" fontId="14" fillId="9" borderId="0" xfId="0" applyFont="true" applyBorder="false" applyAlignment="true" applyProtection="false">
      <alignment horizontal="center" vertical="center" textRotation="0" wrapText="false" indent="0" shrinkToFit="false"/>
      <protection locked="true" hidden="false"/>
    </xf>
    <xf numFmtId="168" fontId="14" fillId="9" borderId="0" xfId="0" applyFont="true" applyBorder="false" applyAlignment="true" applyProtection="false">
      <alignment horizontal="center" vertical="center" textRotation="0" wrapText="false" indent="0" shrinkToFit="false"/>
      <protection locked="true" hidden="false"/>
    </xf>
    <xf numFmtId="168" fontId="23"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32" fillId="9" borderId="0" xfId="0" applyFont="true" applyBorder="true" applyAlignment="true" applyProtection="true">
      <alignment horizontal="right" vertical="bottom" textRotation="0" wrapText="false" indent="0" shrinkToFit="false"/>
      <protection locked="true" hidden="false"/>
    </xf>
    <xf numFmtId="165" fontId="16" fillId="9" borderId="0" xfId="0" applyFont="true" applyBorder="true" applyAlignment="true" applyProtection="false">
      <alignment horizontal="left" vertical="top" textRotation="0" wrapText="false" indent="0" shrinkToFit="false"/>
      <protection locked="true" hidden="false"/>
    </xf>
    <xf numFmtId="164" fontId="16" fillId="9" borderId="0" xfId="0" applyFont="true" applyBorder="true" applyAlignment="true" applyProtection="false">
      <alignment horizontal="center" vertical="top" textRotation="0" wrapText="false" indent="0" shrinkToFit="false"/>
      <protection locked="true" hidden="false"/>
    </xf>
    <xf numFmtId="164" fontId="16" fillId="9" borderId="0" xfId="0" applyFont="true" applyBorder="true" applyAlignment="true" applyProtection="false">
      <alignment horizontal="general" vertical="top" textRotation="0" wrapText="false" indent="0" shrinkToFit="false"/>
      <protection locked="true" hidden="false"/>
    </xf>
    <xf numFmtId="165" fontId="17" fillId="9" borderId="6" xfId="0" applyFont="true" applyBorder="true" applyAlignment="true" applyProtection="false">
      <alignment horizontal="left" vertical="center" textRotation="0" wrapText="false" indent="1"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7" fontId="17" fillId="9" borderId="8" xfId="0" applyFont="true" applyBorder="true" applyAlignment="true" applyProtection="false">
      <alignment horizontal="center" vertical="center" textRotation="0" wrapText="false" indent="0" shrinkToFit="false"/>
      <protection locked="true" hidden="false"/>
    </xf>
    <xf numFmtId="168" fontId="17" fillId="9" borderId="8" xfId="0" applyFont="true" applyBorder="true" applyAlignment="true" applyProtection="false">
      <alignment horizontal="center" vertical="center" textRotation="0" wrapText="false" indent="0" shrinkToFit="false"/>
      <protection locked="true" hidden="false"/>
    </xf>
    <xf numFmtId="168" fontId="17" fillId="9" borderId="9" xfId="0" applyFont="true" applyBorder="tru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5" fontId="19" fillId="9" borderId="0" xfId="0" applyFont="true" applyBorder="true" applyAlignment="true" applyProtection="false">
      <alignment horizontal="left" vertical="center" textRotation="0" wrapText="false" indent="0" shrinkToFit="false"/>
      <protection locked="true" hidden="false"/>
    </xf>
    <xf numFmtId="164" fontId="19" fillId="9" borderId="0"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9" borderId="11" xfId="0" applyFont="true" applyBorder="true" applyAlignment="true" applyProtection="false">
      <alignment horizontal="left" vertical="center" textRotation="0" wrapText="false" indent="0" shrinkToFit="false"/>
      <protection locked="true" hidden="false"/>
    </xf>
    <xf numFmtId="165" fontId="25" fillId="14" borderId="12" xfId="0" applyFont="true" applyBorder="true" applyAlignment="true" applyProtection="false">
      <alignment horizontal="left" vertical="center" textRotation="0" wrapText="false" indent="1" shrinkToFit="false"/>
      <protection locked="true" hidden="false"/>
    </xf>
    <xf numFmtId="167" fontId="25" fillId="14" borderId="13" xfId="0" applyFont="true" applyBorder="true" applyAlignment="true" applyProtection="false">
      <alignment horizontal="center" vertical="center" textRotation="0" wrapText="false" indent="0" shrinkToFit="false"/>
      <protection locked="true" hidden="false"/>
    </xf>
    <xf numFmtId="165" fontId="25" fillId="14" borderId="12" xfId="0" applyFont="true" applyBorder="true" applyAlignment="true" applyProtection="false">
      <alignment horizontal="center" vertical="center" textRotation="0" wrapText="false" indent="0" shrinkToFit="false"/>
      <protection locked="true" hidden="false"/>
    </xf>
    <xf numFmtId="167" fontId="25" fillId="14" borderId="12" xfId="0" applyFont="true" applyBorder="true" applyAlignment="true" applyProtection="false">
      <alignment horizontal="center" vertical="center" textRotation="0" wrapText="false" indent="0" shrinkToFit="false"/>
      <protection locked="true" hidden="false"/>
    </xf>
    <xf numFmtId="168" fontId="25" fillId="14" borderId="1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25" fillId="10" borderId="3" xfId="0" applyFont="true" applyBorder="true" applyAlignment="true" applyProtection="false">
      <alignment horizontal="left" vertical="center" textRotation="0" wrapText="false" indent="1" shrinkToFit="false"/>
      <protection locked="true" hidden="false"/>
    </xf>
    <xf numFmtId="165" fontId="25" fillId="10" borderId="3" xfId="0" applyFont="true" applyBorder="true" applyAlignment="true" applyProtection="false">
      <alignment horizontal="general" vertical="center" textRotation="0" wrapText="false" indent="0" shrinkToFit="false"/>
      <protection locked="true" hidden="false"/>
    </xf>
    <xf numFmtId="169" fontId="25" fillId="10" borderId="3" xfId="0" applyFont="true" applyBorder="true" applyAlignment="true" applyProtection="true">
      <alignment horizontal="center" vertical="center" textRotation="0" wrapText="false" indent="0" shrinkToFit="false"/>
      <protection locked="false" hidden="false"/>
    </xf>
    <xf numFmtId="165" fontId="25" fillId="10" borderId="3" xfId="0" applyFont="true" applyBorder="true" applyAlignment="true" applyProtection="false">
      <alignment horizontal="center" vertical="center" textRotation="0" wrapText="false" indent="0" shrinkToFit="false"/>
      <protection locked="true" hidden="false"/>
    </xf>
    <xf numFmtId="167" fontId="25" fillId="10" borderId="3" xfId="0" applyFont="true" applyBorder="true" applyAlignment="true" applyProtection="false">
      <alignment horizontal="center" vertical="center" textRotation="0" wrapText="false" indent="0" shrinkToFit="false"/>
      <protection locked="true" hidden="false"/>
    </xf>
    <xf numFmtId="168" fontId="25" fillId="10" borderId="3" xfId="0" applyFont="true" applyBorder="true" applyAlignment="true" applyProtection="false">
      <alignment horizontal="center" vertical="center" textRotation="0" wrapText="false" indent="0" shrinkToFit="false"/>
      <protection locked="true" hidden="false"/>
    </xf>
    <xf numFmtId="167" fontId="35" fillId="0" borderId="0" xfId="19" applyFont="true" applyBorder="true" applyAlignment="true" applyProtection="true">
      <alignment horizontal="general" vertical="center" textRotation="0" wrapText="false" indent="0" shrinkToFit="false"/>
      <protection locked="true" hidden="false"/>
    </xf>
    <xf numFmtId="164" fontId="17" fillId="10" borderId="3" xfId="0" applyFont="true" applyBorder="true" applyAlignment="true" applyProtection="false">
      <alignment horizontal="left" vertical="center" textRotation="0" wrapText="false" indent="1" shrinkToFit="false"/>
      <protection locked="true" hidden="false"/>
    </xf>
    <xf numFmtId="165" fontId="17" fillId="10" borderId="3" xfId="0" applyFont="true" applyBorder="true" applyAlignment="true" applyProtection="false">
      <alignment horizontal="left" vertical="center" textRotation="0" wrapText="false" indent="0" shrinkToFit="false"/>
      <protection locked="true" hidden="false"/>
    </xf>
    <xf numFmtId="169" fontId="17" fillId="10" borderId="14" xfId="0" applyFont="true" applyBorder="true" applyAlignment="true" applyProtection="true">
      <alignment horizontal="center" vertical="center" textRotation="0" wrapText="false" indent="0" shrinkToFit="false"/>
      <protection locked="false" hidden="false"/>
    </xf>
    <xf numFmtId="167" fontId="36" fillId="10" borderId="14" xfId="0" applyFont="true" applyBorder="true" applyAlignment="true" applyProtection="true">
      <alignment horizontal="center" vertical="center" textRotation="0" wrapText="false" indent="0" shrinkToFit="false"/>
      <protection locked="false" hidden="false"/>
    </xf>
    <xf numFmtId="165" fontId="18" fillId="10" borderId="3" xfId="0" applyFont="true" applyBorder="true" applyAlignment="true" applyProtection="false">
      <alignment horizontal="left" vertical="center" textRotation="0" wrapText="false" indent="0" shrinkToFit="false"/>
      <protection locked="true" hidden="false"/>
    </xf>
    <xf numFmtId="167" fontId="17" fillId="10" borderId="3" xfId="0" applyFont="true" applyBorder="true" applyAlignment="true" applyProtection="false">
      <alignment horizontal="center" vertical="center" textRotation="0" wrapText="false" indent="0" shrinkToFit="false"/>
      <protection locked="true" hidden="false"/>
    </xf>
    <xf numFmtId="168" fontId="17" fillId="10" borderId="3" xfId="0" applyFont="true" applyBorder="true" applyAlignment="true" applyProtection="false">
      <alignment horizontal="center" vertical="center" textRotation="0" wrapText="false" indent="0" shrinkToFit="false"/>
      <protection locked="tru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true" indent="1" shrinkToFit="false"/>
      <protection locked="true" hidden="false"/>
    </xf>
    <xf numFmtId="169" fontId="24" fillId="9" borderId="14" xfId="0" applyFont="true" applyBorder="true" applyAlignment="true" applyProtection="true">
      <alignment horizontal="center" vertical="center" textRotation="0" wrapText="false" indent="0" shrinkToFit="false"/>
      <protection locked="false" hidden="false"/>
    </xf>
    <xf numFmtId="167" fontId="37" fillId="9" borderId="14" xfId="0" applyFont="true" applyBorder="true" applyAlignment="true" applyProtection="true">
      <alignment horizontal="center" vertical="center" textRotation="0" wrapText="false" indent="0" shrinkToFit="false"/>
      <protection locked="false" hidden="false"/>
    </xf>
    <xf numFmtId="165" fontId="38" fillId="9" borderId="14" xfId="0" applyFont="true" applyBorder="true" applyAlignment="true" applyProtection="true">
      <alignment horizontal="left" vertical="center" textRotation="0" wrapText="true" indent="0" shrinkToFit="false"/>
      <protection locked="false" hidden="false"/>
    </xf>
    <xf numFmtId="164" fontId="37" fillId="9" borderId="14" xfId="0" applyFont="true" applyBorder="true" applyAlignment="true" applyProtection="true">
      <alignment horizontal="center" vertical="center" textRotation="0" wrapText="true" indent="0" shrinkToFit="false"/>
      <protection locked="false" hidden="false"/>
    </xf>
    <xf numFmtId="168" fontId="24" fillId="9" borderId="3" xfId="0" applyFont="true" applyBorder="true" applyAlignment="true" applyProtection="true">
      <alignment horizontal="center" vertical="center" textRotation="0" wrapText="false" indent="0" shrinkToFit="false"/>
      <protection locked="false" hidden="false"/>
    </xf>
    <xf numFmtId="168" fontId="39" fillId="9" borderId="11"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false" indent="0" shrinkToFit="false"/>
      <protection locked="true" hidden="false"/>
    </xf>
    <xf numFmtId="164" fontId="36" fillId="10" borderId="3" xfId="0" applyFont="true" applyBorder="true" applyAlignment="true" applyProtection="false">
      <alignment horizontal="left" vertical="center" textRotation="0" wrapText="false" indent="0" shrinkToFit="false"/>
      <protection locked="true" hidden="false"/>
    </xf>
    <xf numFmtId="167" fontId="37" fillId="9" borderId="14" xfId="0" applyFont="true" applyBorder="true" applyAlignment="true" applyProtection="true">
      <alignment horizontal="center" vertical="center" textRotation="0" wrapText="false" indent="0" shrinkToFit="false"/>
      <protection locked="true" hidden="false"/>
    </xf>
    <xf numFmtId="169" fontId="25" fillId="10" borderId="3" xfId="0" applyFont="true" applyBorder="true" applyAlignment="true" applyProtection="true">
      <alignment horizontal="left" vertical="center" textRotation="0" wrapText="false" indent="1" shrinkToFit="false"/>
      <protection locked="false" hidden="false"/>
    </xf>
    <xf numFmtId="165" fontId="41" fillId="10" borderId="3" xfId="0" applyFont="true" applyBorder="true" applyAlignment="true" applyProtection="false">
      <alignment horizontal="center" vertical="center" textRotation="0" wrapText="false" indent="0" shrinkToFit="false"/>
      <protection locked="true" hidden="false"/>
    </xf>
    <xf numFmtId="164" fontId="41" fillId="10" borderId="3" xfId="0" applyFont="true" applyBorder="true" applyAlignment="true" applyProtection="false">
      <alignment horizontal="left" vertical="center" textRotation="0" wrapText="false" indent="1" shrinkToFit="false"/>
      <protection locked="true" hidden="false"/>
    </xf>
    <xf numFmtId="167" fontId="36" fillId="10" borderId="14" xfId="0" applyFont="true" applyBorder="tru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false" indent="1" shrinkToFit="false"/>
      <protection locked="true" hidden="false"/>
    </xf>
    <xf numFmtId="169" fontId="0" fillId="0" borderId="0" xfId="0" applyFont="false" applyBorder="false" applyAlignment="true" applyProtection="true">
      <alignment horizontal="left" vertical="center" textRotation="0" wrapText="false" indent="1" shrinkToFit="false"/>
      <protection locked="false" hidden="false"/>
    </xf>
    <xf numFmtId="164" fontId="42" fillId="0" borderId="3" xfId="0" applyFont="true" applyBorder="true" applyAlignment="true" applyProtection="true">
      <alignment horizontal="center" vertical="center" textRotation="0" wrapText="false" indent="0" shrinkToFit="false"/>
      <protection locked="true" hidden="false"/>
    </xf>
    <xf numFmtId="169" fontId="24" fillId="9" borderId="3" xfId="0" applyFont="true" applyBorder="true" applyAlignment="true" applyProtection="true">
      <alignment horizontal="center" vertical="center" textRotation="0" wrapText="false" indent="0" shrinkToFit="false"/>
      <protection locked="false" hidden="false"/>
    </xf>
    <xf numFmtId="164" fontId="19" fillId="9" borderId="12" xfId="0" applyFont="true" applyBorder="true" applyAlignment="true" applyProtection="false">
      <alignment horizontal="left" vertical="center" textRotation="0" wrapText="true" indent="1" shrinkToFit="false"/>
      <protection locked="true" hidden="false"/>
    </xf>
    <xf numFmtId="164" fontId="19" fillId="9" borderId="12" xfId="0" applyFont="true" applyBorder="true" applyAlignment="true" applyProtection="false">
      <alignment horizontal="left" vertical="center" textRotation="0" wrapText="false" indent="1" shrinkToFit="false"/>
      <protection locked="true" hidden="false"/>
    </xf>
    <xf numFmtId="164" fontId="19" fillId="9" borderId="0" xfId="0" applyFont="true" applyBorder="true" applyAlignment="true" applyProtection="false">
      <alignment horizontal="left" vertical="center" textRotation="0" wrapText="false" indent="1" shrinkToFit="false"/>
      <protection locked="true" hidden="false"/>
    </xf>
    <xf numFmtId="165" fontId="19" fillId="9" borderId="0" xfId="0" applyFont="true" applyBorder="true" applyAlignment="true" applyProtection="false">
      <alignment horizontal="left" vertical="center" textRotation="0" wrapText="true" indent="1" shrinkToFit="false"/>
      <protection locked="true" hidden="false"/>
    </xf>
    <xf numFmtId="164" fontId="37" fillId="9" borderId="5" xfId="0" applyFont="true" applyBorder="true" applyAlignment="true" applyProtection="true">
      <alignment horizontal="center" vertical="center" textRotation="0" wrapText="true" indent="0" shrinkToFit="false"/>
      <protection locked="false" hidden="false"/>
    </xf>
    <xf numFmtId="165" fontId="17"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left" vertical="center" textRotation="0" wrapText="true" indent="0" shrinkToFit="false"/>
      <protection locked="true" hidden="false"/>
    </xf>
    <xf numFmtId="165" fontId="25" fillId="14" borderId="0" xfId="0" applyFont="true" applyBorder="true" applyAlignment="true" applyProtection="false">
      <alignment horizontal="left" vertical="center" textRotation="0" wrapText="false" indent="1" shrinkToFit="false"/>
      <protection locked="true" hidden="false"/>
    </xf>
    <xf numFmtId="167" fontId="25" fillId="14" borderId="0" xfId="0" applyFont="true" applyBorder="true" applyAlignment="true" applyProtection="false">
      <alignment horizontal="center" vertical="center" textRotation="0" wrapText="false" indent="0" shrinkToFit="false"/>
      <protection locked="true" hidden="false"/>
    </xf>
    <xf numFmtId="168" fontId="25" fillId="14" borderId="0" xfId="0" applyFont="true" applyBorder="true" applyAlignment="true" applyProtection="false">
      <alignment horizontal="center" vertical="center" textRotation="0" wrapText="false" indent="0" shrinkToFit="false"/>
      <protection locked="true" hidden="false"/>
    </xf>
    <xf numFmtId="169" fontId="14" fillId="0" borderId="0" xfId="0" applyFont="true" applyBorder="false" applyAlignment="true" applyProtection="false">
      <alignment horizontal="center" vertical="center" textRotation="0" wrapText="fals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false" applyAlignment="true" applyProtection="false">
      <alignment horizontal="general" vertical="bottom" textRotation="0" wrapText="true" indent="0" shrinkToFit="false"/>
      <protection locked="true" hidden="false"/>
    </xf>
    <xf numFmtId="164" fontId="43" fillId="9"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true" applyAlignment="true" applyProtection="false">
      <alignment horizontal="general" vertical="bottom" textRotation="0" wrapText="true" indent="0" shrinkToFit="false"/>
      <protection locked="true" hidden="false"/>
    </xf>
    <xf numFmtId="164" fontId="44" fillId="9" borderId="0" xfId="0" applyFont="true" applyBorder="true" applyAlignment="true" applyProtection="false">
      <alignment horizontal="general" vertical="center" textRotation="0" wrapText="true" indent="0" shrinkToFit="false"/>
      <protection locked="true" hidden="false"/>
    </xf>
    <xf numFmtId="164" fontId="44" fillId="9" borderId="15"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center" vertical="center" textRotation="0" wrapText="true" indent="0" shrinkToFit="false"/>
      <protection locked="true" hidden="false"/>
    </xf>
    <xf numFmtId="164" fontId="44" fillId="9" borderId="17" xfId="0" applyFont="true" applyBorder="true" applyAlignment="true" applyProtection="false">
      <alignment horizontal="general" vertical="center" textRotation="0" wrapText="true" indent="0" shrinkToFit="false"/>
      <protection locked="true" hidden="false"/>
    </xf>
    <xf numFmtId="164" fontId="45" fillId="9" borderId="0" xfId="0" applyFont="true" applyBorder="true" applyAlignment="true" applyProtection="true">
      <alignment horizontal="general" vertical="center" textRotation="0" wrapText="true" indent="0" shrinkToFit="false"/>
      <protection locked="true" hidden="false"/>
    </xf>
    <xf numFmtId="164" fontId="46" fillId="9" borderId="18" xfId="0" applyFont="true" applyBorder="true" applyAlignment="true" applyProtection="false">
      <alignment horizontal="right" vertical="bottom" textRotation="0" wrapText="true" indent="1" shrinkToFit="false"/>
      <protection locked="true" hidden="false"/>
    </xf>
    <xf numFmtId="164" fontId="46" fillId="9" borderId="0" xfId="0" applyFont="true" applyBorder="true" applyAlignment="true" applyProtection="false">
      <alignment horizontal="right" vertical="bottom" textRotation="0" wrapText="true" indent="1" shrinkToFit="false"/>
      <protection locked="true" hidden="false"/>
    </xf>
    <xf numFmtId="166" fontId="47" fillId="15" borderId="0" xfId="0" applyFont="true" applyBorder="true" applyAlignment="true" applyProtection="true">
      <alignment horizontal="left" vertical="top" textRotation="0" wrapText="true" indent="0" shrinkToFit="false"/>
      <protection locked="true" hidden="false"/>
    </xf>
    <xf numFmtId="164" fontId="48" fillId="15" borderId="0" xfId="0" applyFont="true" applyBorder="true" applyAlignment="true" applyProtection="false">
      <alignment horizontal="center" vertical="center" textRotation="90" wrapText="true" indent="0" shrinkToFit="false"/>
      <protection locked="true" hidden="false"/>
    </xf>
    <xf numFmtId="164" fontId="49" fillId="10" borderId="0" xfId="0" applyFont="true" applyBorder="true" applyAlignment="true" applyProtection="true">
      <alignment horizontal="center" vertical="center" textRotation="90" wrapText="true" indent="0" shrinkToFit="false"/>
      <protection locked="true" hidden="false"/>
    </xf>
    <xf numFmtId="164" fontId="43" fillId="9" borderId="19" xfId="0" applyFont="true" applyBorder="true" applyAlignment="true" applyProtection="false">
      <alignment horizontal="general" vertical="bottom" textRotation="0" wrapText="true" indent="0" shrinkToFit="false"/>
      <protection locked="true" hidden="false"/>
    </xf>
    <xf numFmtId="164" fontId="45" fillId="9" borderId="0" xfId="0"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left" vertical="center" textRotation="0" wrapText="true" indent="0" shrinkToFit="false"/>
      <protection locked="true" hidden="false"/>
    </xf>
    <xf numFmtId="166" fontId="50" fillId="15" borderId="0" xfId="0" applyFont="true" applyBorder="true" applyAlignment="true" applyProtection="true">
      <alignment horizontal="center" vertical="center" textRotation="0" wrapText="true" indent="0" shrinkToFit="false"/>
      <protection locked="true" hidden="false"/>
    </xf>
    <xf numFmtId="164" fontId="51" fillId="15" borderId="0" xfId="0" applyFont="true" applyBorder="true" applyAlignment="true" applyProtection="true">
      <alignment horizontal="center" vertical="center" textRotation="0" wrapText="true" indent="0" shrinkToFit="false"/>
      <protection locked="true" hidden="false"/>
    </xf>
    <xf numFmtId="166" fontId="52" fillId="0" borderId="20" xfId="0" applyFont="true" applyBorder="true" applyAlignment="true" applyProtection="true">
      <alignment horizontal="center" vertical="center" textRotation="0" wrapText="true" indent="0" shrinkToFit="false"/>
      <protection locked="true" hidden="false"/>
    </xf>
    <xf numFmtId="166" fontId="53" fillId="16" borderId="21" xfId="0" applyFont="true" applyBorder="true" applyAlignment="true" applyProtection="true">
      <alignment horizontal="center" vertical="center" textRotation="0" wrapText="true" indent="0" shrinkToFit="false"/>
      <protection locked="true" hidden="false"/>
    </xf>
    <xf numFmtId="164" fontId="46" fillId="9" borderId="0" xfId="0" applyFont="true" applyBorder="true" applyAlignment="true" applyProtection="false">
      <alignment horizontal="left" vertical="top" textRotation="0" wrapText="true" indent="0" shrinkToFit="false"/>
      <protection locked="true" hidden="false"/>
    </xf>
    <xf numFmtId="164" fontId="46" fillId="9" borderId="18" xfId="0" applyFont="true" applyBorder="true" applyAlignment="true" applyProtection="false">
      <alignment horizontal="left" vertical="top" textRotation="0" wrapText="true" indent="0" shrinkToFit="false"/>
      <protection locked="true" hidden="false"/>
    </xf>
    <xf numFmtId="166" fontId="54" fillId="15" borderId="0" xfId="0" applyFont="true" applyBorder="true" applyAlignment="true" applyProtection="true">
      <alignment horizontal="center" vertical="center" textRotation="0" wrapText="true" indent="0" shrinkToFit="false"/>
      <protection locked="true" hidden="false"/>
    </xf>
    <xf numFmtId="166" fontId="48" fillId="15" borderId="0" xfId="0" applyFont="true" applyBorder="true" applyAlignment="true" applyProtection="true">
      <alignment horizontal="right" vertical="center" textRotation="0" wrapText="true" indent="0" shrinkToFit="false"/>
      <protection locked="true" hidden="false"/>
    </xf>
    <xf numFmtId="166" fontId="55" fillId="15" borderId="0" xfId="0" applyFont="true" applyBorder="true" applyAlignment="true" applyProtection="true">
      <alignment horizontal="general" vertical="center" textRotation="0" wrapText="true" indent="0" shrinkToFit="false"/>
      <protection locked="true" hidden="false"/>
    </xf>
    <xf numFmtId="168" fontId="51" fillId="15" borderId="0" xfId="0" applyFont="true" applyBorder="true" applyAlignment="true" applyProtection="true">
      <alignment horizontal="center" vertical="center" textRotation="0" wrapText="true" indent="0" shrinkToFit="false"/>
      <protection locked="true" hidden="false"/>
    </xf>
    <xf numFmtId="164" fontId="56" fillId="9" borderId="0" xfId="0" applyFont="true" applyBorder="true" applyAlignment="true" applyProtection="true">
      <alignment horizontal="center" vertical="center" textRotation="0" wrapText="true" indent="0" shrinkToFit="false"/>
      <protection locked="true" hidden="false"/>
    </xf>
    <xf numFmtId="164" fontId="46" fillId="9" borderId="15" xfId="0" applyFont="true" applyBorder="true" applyAlignment="true" applyProtection="false">
      <alignment horizontal="left" vertical="top" textRotation="0" wrapText="true" indent="0" shrinkToFit="false"/>
      <protection locked="true" hidden="false"/>
    </xf>
    <xf numFmtId="164" fontId="46" fillId="9" borderId="16" xfId="0" applyFont="true" applyBorder="true" applyAlignment="true" applyProtection="false">
      <alignment horizontal="left" vertical="top" textRotation="0" wrapText="true" indent="0" shrinkToFit="false"/>
      <protection locked="true" hidden="false"/>
    </xf>
    <xf numFmtId="164" fontId="53" fillId="10" borderId="16" xfId="0" applyFont="true" applyBorder="true" applyAlignment="true" applyProtection="true">
      <alignment horizontal="general" vertical="center" textRotation="0" wrapText="true" indent="0" shrinkToFit="false"/>
      <protection locked="true" hidden="false"/>
    </xf>
    <xf numFmtId="164" fontId="53" fillId="16" borderId="16" xfId="0" applyFont="true" applyBorder="true" applyAlignment="true" applyProtection="true">
      <alignment horizontal="right" vertical="center" textRotation="0" wrapText="true" indent="0" shrinkToFit="false"/>
      <protection locked="true" hidden="false"/>
    </xf>
    <xf numFmtId="166" fontId="51" fillId="9" borderId="22" xfId="0" applyFont="true" applyBorder="true" applyAlignment="true" applyProtection="true">
      <alignment horizontal="right" vertical="center" textRotation="0" wrapText="true" indent="0" shrinkToFit="false"/>
      <protection locked="true" hidden="false"/>
    </xf>
    <xf numFmtId="164" fontId="49" fillId="10" borderId="23" xfId="0" applyFont="true" applyBorder="true" applyAlignment="true" applyProtection="true">
      <alignment horizontal="center" vertical="center" textRotation="0" wrapText="true" indent="0" shrinkToFit="false"/>
      <protection locked="true" hidden="false"/>
    </xf>
    <xf numFmtId="165" fontId="51" fillId="15" borderId="23" xfId="0" applyFont="true" applyBorder="true" applyAlignment="true" applyProtection="true">
      <alignment horizontal="center" vertical="center" textRotation="90" wrapText="true" indent="0" shrinkToFit="false"/>
      <protection locked="true" hidden="false"/>
    </xf>
    <xf numFmtId="168" fontId="51" fillId="15" borderId="23" xfId="0" applyFont="true" applyBorder="true" applyAlignment="true" applyProtection="true">
      <alignment horizontal="center" vertical="center" textRotation="90" wrapText="true" indent="0" shrinkToFit="false"/>
      <protection locked="true" hidden="false"/>
    </xf>
    <xf numFmtId="164" fontId="57" fillId="16" borderId="24" xfId="0" applyFont="true" applyBorder="true" applyAlignment="true" applyProtection="true">
      <alignment horizontal="center" vertical="center" textRotation="0" wrapText="true" indent="0" shrinkToFit="false"/>
      <protection locked="true" hidden="false"/>
    </xf>
    <xf numFmtId="164" fontId="57" fillId="16" borderId="25" xfId="0" applyFont="true" applyBorder="true" applyAlignment="true" applyProtection="true">
      <alignment horizontal="center" vertical="center" textRotation="0" wrapText="true" indent="0" shrinkToFit="false"/>
      <protection locked="true" hidden="false"/>
    </xf>
    <xf numFmtId="164" fontId="57" fillId="16" borderId="26" xfId="0" applyFont="true" applyBorder="true" applyAlignment="true" applyProtection="true">
      <alignment horizontal="center" vertical="center" textRotation="0" wrapText="true" indent="0" shrinkToFit="false"/>
      <protection locked="true" hidden="false"/>
    </xf>
    <xf numFmtId="164" fontId="43" fillId="9" borderId="17" xfId="0" applyFont="true" applyBorder="true" applyAlignment="true" applyProtection="false">
      <alignment horizontal="general" vertical="bottom" textRotation="0" wrapText="true" indent="0" shrinkToFit="false"/>
      <protection locked="true" hidden="false"/>
    </xf>
    <xf numFmtId="164" fontId="43" fillId="0" borderId="18" xfId="0" applyFont="true" applyBorder="true" applyAlignment="true" applyProtection="false">
      <alignment horizontal="general"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64" fontId="53" fillId="10" borderId="0" xfId="0" applyFont="true" applyBorder="true" applyAlignment="true" applyProtection="true">
      <alignment horizontal="general" vertical="center" textRotation="0" wrapText="true" indent="0" shrinkToFit="false"/>
      <protection locked="true" hidden="false"/>
    </xf>
    <xf numFmtId="164" fontId="45" fillId="10" borderId="27" xfId="0" applyFont="true" applyBorder="true" applyAlignment="true" applyProtection="true">
      <alignment horizontal="left" vertical="center" textRotation="0" wrapText="true" indent="0" shrinkToFit="false"/>
      <protection locked="true" hidden="false"/>
    </xf>
    <xf numFmtId="164" fontId="53" fillId="16" borderId="0" xfId="0" applyFont="true" applyBorder="true" applyAlignment="true" applyProtection="true">
      <alignment horizontal="general" vertical="center" textRotation="0" wrapText="true" indent="0" shrinkToFit="false"/>
      <protection locked="true" hidden="false"/>
    </xf>
    <xf numFmtId="164" fontId="53" fillId="16" borderId="28" xfId="0" applyFont="true" applyBorder="true" applyAlignment="true" applyProtection="true">
      <alignment horizontal="general" vertical="center" textRotation="0" wrapText="true" indent="0" shrinkToFit="false"/>
      <protection locked="true" hidden="false"/>
    </xf>
    <xf numFmtId="164" fontId="45" fillId="10" borderId="29" xfId="0" applyFont="true" applyBorder="true" applyAlignment="true" applyProtection="true">
      <alignment horizontal="center" vertical="center" textRotation="0" wrapText="true" indent="0" shrinkToFit="false"/>
      <protection locked="true" hidden="false"/>
    </xf>
    <xf numFmtId="164" fontId="45" fillId="10" borderId="30" xfId="0" applyFont="true" applyBorder="true" applyAlignment="true" applyProtection="true">
      <alignment horizontal="center" vertical="center" textRotation="0" wrapText="true" indent="0" shrinkToFit="false"/>
      <protection locked="true" hidden="false"/>
    </xf>
    <xf numFmtId="164" fontId="45" fillId="10" borderId="31"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left" vertical="center" textRotation="0" wrapText="true" indent="0" shrinkToFit="false"/>
      <protection locked="true" hidden="false"/>
    </xf>
    <xf numFmtId="166" fontId="51" fillId="9" borderId="33" xfId="0" applyFont="true" applyBorder="true" applyAlignment="true" applyProtection="true">
      <alignment horizontal="left" vertical="center" textRotation="0" wrapText="true" indent="0" shrinkToFit="false"/>
      <protection locked="true" hidden="false"/>
    </xf>
    <xf numFmtId="171" fontId="51" fillId="9" borderId="34" xfId="15" applyFont="true" applyBorder="true" applyAlignment="true" applyProtection="true">
      <alignment horizontal="left" vertical="center" textRotation="0" wrapText="true" indent="0" shrinkToFit="false"/>
      <protection locked="true" hidden="false"/>
    </xf>
    <xf numFmtId="164" fontId="53" fillId="10" borderId="29" xfId="0" applyFont="true" applyBorder="true" applyAlignment="true" applyProtection="true">
      <alignment horizontal="center" vertical="center" textRotation="0" wrapText="true" indent="0" shrinkToFit="false"/>
      <protection locked="true" hidden="false"/>
    </xf>
    <xf numFmtId="164" fontId="53" fillId="10" borderId="30" xfId="0" applyFont="true" applyBorder="true" applyAlignment="true" applyProtection="true">
      <alignment horizontal="center" vertical="center" textRotation="0" wrapText="true" indent="0" shrinkToFit="false"/>
      <protection locked="true" hidden="false"/>
    </xf>
    <xf numFmtId="164" fontId="53" fillId="10" borderId="31" xfId="0" applyFont="true" applyBorder="true" applyAlignment="true" applyProtection="true">
      <alignment horizontal="center" vertical="center" textRotation="0" wrapText="true" indent="0" shrinkToFit="false"/>
      <protection locked="true" hidden="false"/>
    </xf>
    <xf numFmtId="164" fontId="53" fillId="9" borderId="18" xfId="0" applyFont="true" applyBorder="true" applyAlignment="true" applyProtection="true">
      <alignment horizontal="left" vertical="center" textRotation="0" wrapText="true" indent="0" shrinkToFit="false"/>
      <protection locked="true" hidden="false"/>
    </xf>
    <xf numFmtId="164" fontId="53" fillId="9" borderId="0" xfId="0" applyFont="true" applyBorder="true" applyAlignment="true" applyProtection="true">
      <alignment horizontal="left" vertical="center" textRotation="0" wrapText="true" indent="0" shrinkToFit="false"/>
      <protection locked="true" hidden="false"/>
    </xf>
    <xf numFmtId="166" fontId="51" fillId="9" borderId="35" xfId="0" applyFont="true" applyBorder="true" applyAlignment="true" applyProtection="true">
      <alignment horizontal="left" vertical="center" textRotation="0" wrapText="true" indent="0" shrinkToFit="false"/>
      <protection locked="true" hidden="false"/>
    </xf>
    <xf numFmtId="165" fontId="51" fillId="9" borderId="28" xfId="0" applyFont="true" applyBorder="true" applyAlignment="true" applyProtection="true">
      <alignment horizontal="left" vertical="center" textRotation="0" wrapText="true" indent="0" shrinkToFit="false"/>
      <protection locked="true" hidden="false"/>
    </xf>
    <xf numFmtId="171" fontId="51" fillId="9" borderId="36" xfId="15" applyFont="true" applyBorder="true" applyAlignment="true" applyProtection="true">
      <alignment horizontal="left" vertical="center" textRotation="0" wrapText="true" indent="0" shrinkToFit="false"/>
      <protection locked="true" hidden="false"/>
    </xf>
    <xf numFmtId="169" fontId="42" fillId="15" borderId="29" xfId="15" applyFont="true" applyBorder="true" applyAlignment="true" applyProtection="true">
      <alignment horizontal="center" vertical="center" textRotation="0" wrapText="true" indent="0" shrinkToFit="false"/>
      <protection locked="true" hidden="false"/>
    </xf>
    <xf numFmtId="169" fontId="42" fillId="15" borderId="30" xfId="15" applyFont="true" applyBorder="true" applyAlignment="true" applyProtection="true">
      <alignment horizontal="center" vertical="center" textRotation="0" wrapText="true" indent="0" shrinkToFit="false"/>
      <protection locked="true" hidden="false"/>
    </xf>
    <xf numFmtId="169" fontId="43" fillId="15" borderId="30" xfId="0" applyFont="true" applyBorder="true" applyAlignment="true" applyProtection="false">
      <alignment horizontal="center" vertical="center" textRotation="0" wrapText="true" indent="0" shrinkToFit="false"/>
      <protection locked="true" hidden="false"/>
    </xf>
    <xf numFmtId="169" fontId="43" fillId="15" borderId="31" xfId="0" applyFont="true" applyBorder="true" applyAlignment="true" applyProtection="false">
      <alignment horizontal="center" vertical="center" textRotation="0" wrapText="true" indent="0" shrinkToFit="false"/>
      <protection locked="true" hidden="false"/>
    </xf>
    <xf numFmtId="168" fontId="58" fillId="9" borderId="19" xfId="0" applyFont="true" applyBorder="true" applyAlignment="true" applyProtection="false">
      <alignment horizontal="general" vertical="bottom" textRotation="0" wrapText="true" indent="0" shrinkToFit="false"/>
      <protection locked="true" hidden="false"/>
    </xf>
    <xf numFmtId="165" fontId="51" fillId="9" borderId="35" xfId="0" applyFont="true" applyBorder="true" applyAlignment="true" applyProtection="true">
      <alignment horizontal="left" vertical="center" textRotation="0" wrapText="true" indent="0" shrinkToFit="false"/>
      <protection locked="true" hidden="false"/>
    </xf>
    <xf numFmtId="168" fontId="43" fillId="15" borderId="29" xfId="0" applyFont="true" applyBorder="true" applyAlignment="true" applyProtection="false">
      <alignment horizontal="center" vertical="center" textRotation="0" wrapText="true" indent="0" shrinkToFit="false"/>
      <protection locked="true" hidden="false"/>
    </xf>
    <xf numFmtId="168" fontId="43" fillId="15" borderId="30" xfId="0" applyFont="true" applyBorder="true" applyAlignment="true" applyProtection="false">
      <alignment horizontal="center" vertical="center" textRotation="0" wrapText="true" indent="0" shrinkToFit="false"/>
      <protection locked="true" hidden="false"/>
    </xf>
    <xf numFmtId="168" fontId="43" fillId="15" borderId="31" xfId="0" applyFont="true" applyBorder="true" applyAlignment="true" applyProtection="false">
      <alignment horizontal="center" vertical="center" textRotation="0" wrapText="true" indent="0" shrinkToFit="false"/>
      <protection locked="true" hidden="false"/>
    </xf>
    <xf numFmtId="165" fontId="59" fillId="10" borderId="29" xfId="0" applyFont="true" applyBorder="true" applyAlignment="true" applyProtection="true">
      <alignment horizontal="center" vertical="center" textRotation="0" wrapText="true" indent="0" shrinkToFit="false"/>
      <protection locked="true" hidden="false"/>
    </xf>
    <xf numFmtId="165" fontId="59" fillId="10" borderId="30" xfId="0" applyFont="true" applyBorder="true" applyAlignment="true" applyProtection="true">
      <alignment horizontal="center" vertical="center" textRotation="0" wrapText="true" indent="0" shrinkToFit="false"/>
      <protection locked="true" hidden="false"/>
    </xf>
    <xf numFmtId="165" fontId="59" fillId="10" borderId="31" xfId="0" applyFont="true" applyBorder="true" applyAlignment="true" applyProtection="true">
      <alignment horizontal="center" vertical="center" textRotation="0" wrapText="true" indent="0" shrinkToFit="false"/>
      <protection locked="true" hidden="false"/>
    </xf>
    <xf numFmtId="165" fontId="51" fillId="9" borderId="37" xfId="0" applyFont="true" applyBorder="true" applyAlignment="true" applyProtection="true">
      <alignment horizontal="left" vertical="center" textRotation="0" wrapText="true" indent="0" shrinkToFit="false"/>
      <protection locked="true" hidden="false"/>
    </xf>
    <xf numFmtId="165" fontId="51" fillId="9" borderId="38" xfId="0" applyFont="true" applyBorder="true" applyAlignment="true" applyProtection="true">
      <alignment horizontal="left" vertical="center" textRotation="0" wrapText="true" indent="0" shrinkToFit="false"/>
      <protection locked="true" hidden="false"/>
    </xf>
    <xf numFmtId="166" fontId="50" fillId="9" borderId="0" xfId="0" applyFont="true" applyBorder="true" applyAlignment="true" applyProtection="true">
      <alignment horizontal="center" vertical="center" textRotation="0" wrapText="true" indent="0" shrinkToFit="false"/>
      <protection locked="true" hidden="false"/>
    </xf>
    <xf numFmtId="171" fontId="50" fillId="9" borderId="39" xfId="15" applyFont="true" applyBorder="true" applyAlignment="true" applyProtection="true">
      <alignment horizontal="center" vertical="center" textRotation="0" wrapText="true" indent="0" shrinkToFit="false"/>
      <protection locked="true" hidden="false"/>
    </xf>
    <xf numFmtId="171" fontId="50" fillId="9" borderId="40" xfId="15" applyFont="true" applyBorder="true" applyAlignment="true" applyProtection="true">
      <alignment horizontal="center" vertical="center" textRotation="0" wrapText="true" indent="0" shrinkToFit="false"/>
      <protection locked="true" hidden="false"/>
    </xf>
    <xf numFmtId="164" fontId="53" fillId="10" borderId="40" xfId="0" applyFont="true" applyBorder="true" applyAlignment="true" applyProtection="true">
      <alignment horizontal="general" vertical="center" textRotation="0" wrapText="true" indent="0" shrinkToFit="false"/>
      <protection locked="true" hidden="false"/>
    </xf>
    <xf numFmtId="164" fontId="45" fillId="10"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left" vertical="center" textRotation="0" wrapText="true" indent="0" shrinkToFit="false"/>
      <protection locked="true" hidden="false"/>
    </xf>
    <xf numFmtId="171" fontId="51" fillId="9" borderId="41" xfId="15" applyFont="true" applyBorder="true" applyAlignment="true" applyProtection="true">
      <alignment horizontal="left" vertical="center" textRotation="0" wrapText="true" indent="0" shrinkToFit="false"/>
      <protection locked="true" hidden="false"/>
    </xf>
    <xf numFmtId="164" fontId="53" fillId="10" borderId="42" xfId="0" applyFont="true" applyBorder="true" applyAlignment="true" applyProtection="true">
      <alignment horizontal="center" vertical="center" textRotation="0" wrapText="true" indent="0" shrinkToFit="false"/>
      <protection locked="true" hidden="false"/>
    </xf>
    <xf numFmtId="164" fontId="53" fillId="10" borderId="43" xfId="0" applyFont="true" applyBorder="true" applyAlignment="true" applyProtection="true">
      <alignment horizontal="center" vertical="center" textRotation="0" wrapText="true" indent="0" shrinkToFit="false"/>
      <protection locked="true" hidden="false"/>
    </xf>
    <xf numFmtId="164" fontId="53" fillId="10" borderId="44" xfId="0" applyFont="true" applyBorder="true" applyAlignment="true" applyProtection="true">
      <alignment horizontal="center" vertical="center" textRotation="0" wrapText="true" indent="0" shrinkToFit="false"/>
      <protection locked="true" hidden="false"/>
    </xf>
    <xf numFmtId="168" fontId="58" fillId="9" borderId="45" xfId="0" applyFont="true" applyBorder="true" applyAlignment="true" applyProtection="false">
      <alignment horizontal="general" vertical="bottom" textRotation="0" wrapText="true" indent="0" shrinkToFit="false"/>
      <protection locked="true" hidden="false"/>
    </xf>
    <xf numFmtId="164" fontId="53" fillId="16" borderId="0" xfId="0" applyFont="true" applyBorder="true" applyAlignment="true" applyProtection="true">
      <alignment horizontal="right" vertical="center" textRotation="0" wrapText="true" indent="0" shrinkToFit="false"/>
      <protection locked="true" hidden="false"/>
    </xf>
    <xf numFmtId="171" fontId="51" fillId="9" borderId="22" xfId="15" applyFont="true" applyBorder="true" applyAlignment="true" applyProtection="true">
      <alignment horizontal="left" vertical="center" textRotation="0" wrapText="true" indent="0" shrinkToFit="false"/>
      <protection locked="true" hidden="false"/>
    </xf>
    <xf numFmtId="164" fontId="49" fillId="10" borderId="40" xfId="0" applyFont="true" applyBorder="true" applyAlignment="true" applyProtection="true">
      <alignment horizontal="center" vertical="center" textRotation="0" wrapText="true" indent="0" shrinkToFit="false"/>
      <protection locked="true" hidden="false"/>
    </xf>
    <xf numFmtId="165" fontId="51" fillId="15" borderId="40" xfId="0" applyFont="true" applyBorder="true" applyAlignment="true" applyProtection="true">
      <alignment horizontal="center" vertical="center" textRotation="90" wrapText="true" indent="0" shrinkToFit="false"/>
      <protection locked="true" hidden="false"/>
    </xf>
    <xf numFmtId="164" fontId="57" fillId="16" borderId="29" xfId="0" applyFont="true" applyBorder="true" applyAlignment="true" applyProtection="true">
      <alignment horizontal="center" vertical="center" textRotation="0" wrapText="true" indent="0" shrinkToFit="false"/>
      <protection locked="true" hidden="false"/>
    </xf>
    <xf numFmtId="164" fontId="57" fillId="16" borderId="30" xfId="0" applyFont="true" applyBorder="true" applyAlignment="true" applyProtection="true">
      <alignment horizontal="center" vertical="center" textRotation="0" wrapText="true" indent="0" shrinkToFit="false"/>
      <protection locked="true" hidden="false"/>
    </xf>
    <xf numFmtId="164" fontId="57" fillId="16" borderId="31" xfId="0" applyFont="tru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right" vertical="center" textRotation="0" wrapText="true" indent="0" shrinkToFit="false"/>
      <protection locked="true" hidden="false"/>
    </xf>
    <xf numFmtId="170" fontId="0" fillId="10" borderId="0" xfId="15" applyFont="false" applyBorder="true" applyAlignment="true" applyProtection="true">
      <alignment horizontal="general" vertical="center" textRotation="0" wrapText="true" indent="0" shrinkToFit="false"/>
      <protection locked="true" hidden="false"/>
    </xf>
    <xf numFmtId="164" fontId="53" fillId="16" borderId="46" xfId="0" applyFont="true" applyBorder="true" applyAlignment="true" applyProtection="true">
      <alignment horizontal="right" vertical="center" textRotation="0" wrapText="true" indent="0" shrinkToFit="false"/>
      <protection locked="true" hidden="false"/>
    </xf>
    <xf numFmtId="171" fontId="51" fillId="9" borderId="47" xfId="15"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general" vertical="center" textRotation="0" wrapText="true" indent="0" shrinkToFit="false"/>
      <protection locked="true" hidden="false"/>
    </xf>
    <xf numFmtId="172" fontId="0" fillId="10" borderId="0" xfId="15" applyFont="fals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general" vertical="center" textRotation="0" wrapText="true" indent="0" shrinkToFit="false"/>
      <protection locked="true" hidden="false"/>
    </xf>
    <xf numFmtId="164" fontId="53" fillId="16" borderId="48" xfId="0" applyFont="true" applyBorder="true" applyAlignment="true" applyProtection="true">
      <alignment horizontal="center" vertical="center" textRotation="0" wrapText="true" indent="0" shrinkToFit="false"/>
      <protection locked="true" hidden="false"/>
    </xf>
    <xf numFmtId="166" fontId="51" fillId="9" borderId="49" xfId="0" applyFont="true" applyBorder="true" applyAlignment="true" applyProtection="true">
      <alignment horizontal="general" vertical="center" textRotation="0" wrapText="true" indent="0" shrinkToFit="false"/>
      <protection locked="true" hidden="false"/>
    </xf>
    <xf numFmtId="173" fontId="42" fillId="15" borderId="29" xfId="15" applyFont="true" applyBorder="true" applyAlignment="true" applyProtection="true">
      <alignment horizontal="center" vertical="center" textRotation="0" wrapText="true" indent="0" shrinkToFit="false"/>
      <protection locked="true" hidden="false"/>
    </xf>
    <xf numFmtId="173" fontId="42" fillId="15" borderId="30" xfId="15" applyFont="true" applyBorder="true" applyAlignment="true" applyProtection="true">
      <alignment horizontal="center" vertical="center" textRotation="0" wrapText="true" indent="0" shrinkToFit="false"/>
      <protection locked="true" hidden="false"/>
    </xf>
    <xf numFmtId="173" fontId="42" fillId="15" borderId="31" xfId="15" applyFont="true" applyBorder="true" applyAlignment="true" applyProtection="true">
      <alignment horizontal="center" vertical="center" textRotation="0" wrapText="true" indent="0" shrinkToFit="false"/>
      <protection locked="true" hidden="false"/>
    </xf>
    <xf numFmtId="168" fontId="46" fillId="9" borderId="19" xfId="0" applyFont="true" applyBorder="true" applyAlignment="true" applyProtection="false">
      <alignment horizontal="general" vertical="bottom" textRotation="0" wrapText="true" indent="0" shrinkToFit="false"/>
      <protection locked="true" hidden="false"/>
    </xf>
    <xf numFmtId="169" fontId="0" fillId="10" borderId="0" xfId="15" applyFont="false" applyBorder="true" applyAlignment="true" applyProtection="true">
      <alignment horizontal="center" vertical="center" textRotation="0" wrapText="true" indent="0" shrinkToFit="false"/>
      <protection locked="true" hidden="false"/>
    </xf>
    <xf numFmtId="171" fontId="51" fillId="9" borderId="50" xfId="15" applyFont="true" applyBorder="true" applyAlignment="true" applyProtection="true">
      <alignment horizontal="left" vertical="center" textRotation="0" wrapText="true" indent="0" shrinkToFit="false"/>
      <protection locked="true" hidden="false"/>
    </xf>
    <xf numFmtId="164" fontId="50" fillId="9" borderId="0" xfId="0" applyFont="true" applyBorder="true" applyAlignment="true" applyProtection="true">
      <alignment horizontal="center" vertical="center" textRotation="0" wrapText="true" indent="0" shrinkToFit="false"/>
      <protection locked="true" hidden="false"/>
    </xf>
    <xf numFmtId="164" fontId="43" fillId="0" borderId="39" xfId="0" applyFont="true" applyBorder="true" applyAlignment="true" applyProtection="false">
      <alignment horizontal="general" vertical="bottom" textRotation="0" wrapText="true" indent="0" shrinkToFit="false"/>
      <protection locked="true" hidden="false"/>
    </xf>
    <xf numFmtId="164" fontId="43" fillId="0" borderId="40" xfId="0" applyFont="true" applyBorder="true" applyAlignment="true" applyProtection="false">
      <alignment horizontal="general" vertical="bottom" textRotation="0" wrapText="true" indent="0" shrinkToFit="false"/>
      <protection locked="true" hidden="false"/>
    </xf>
    <xf numFmtId="164" fontId="53" fillId="16" borderId="51" xfId="0" applyFont="true" applyBorder="true" applyAlignment="true" applyProtection="true">
      <alignment horizontal="right" vertical="center" textRotation="0" wrapText="true" indent="0" shrinkToFit="false"/>
      <protection locked="true" hidden="false"/>
    </xf>
    <xf numFmtId="171" fontId="51" fillId="9" borderId="52" xfId="15" applyFont="true" applyBorder="true" applyAlignment="true" applyProtection="true">
      <alignment horizontal="left" vertical="center" textRotation="0" wrapText="true" indent="0" shrinkToFit="false"/>
      <protection locked="true" hidden="false"/>
    </xf>
    <xf numFmtId="165" fontId="59" fillId="10" borderId="42" xfId="0" applyFont="true" applyBorder="true" applyAlignment="true" applyProtection="true">
      <alignment horizontal="center" vertical="center" textRotation="0" wrapText="true" indent="0" shrinkToFit="false"/>
      <protection locked="true" hidden="false"/>
    </xf>
    <xf numFmtId="165" fontId="59" fillId="10" borderId="43" xfId="0" applyFont="true" applyBorder="true" applyAlignment="true" applyProtection="true">
      <alignment horizontal="center" vertical="center" textRotation="0" wrapText="true" indent="0" shrinkToFit="false"/>
      <protection locked="true" hidden="false"/>
    </xf>
    <xf numFmtId="165" fontId="59" fillId="10" borderId="44" xfId="0" applyFont="true" applyBorder="true" applyAlignment="true" applyProtection="true">
      <alignment horizontal="center" vertical="center" textRotation="0" wrapText="true" indent="0" shrinkToFit="false"/>
      <protection locked="true" hidden="false"/>
    </xf>
    <xf numFmtId="168" fontId="46" fillId="9" borderId="45" xfId="0" applyFont="true" applyBorder="true" applyAlignment="true" applyProtection="false">
      <alignment horizontal="general" vertical="bottom" textRotation="0" wrapText="true" indent="0" shrinkToFit="false"/>
      <protection locked="true" hidden="false"/>
    </xf>
    <xf numFmtId="171" fontId="50" fillId="9" borderId="18" xfId="15" applyFont="true" applyBorder="true" applyAlignment="true" applyProtection="true">
      <alignment horizontal="center" vertical="center" textRotation="0" wrapText="true" indent="0" shrinkToFit="false"/>
      <protection locked="true" hidden="false"/>
    </xf>
    <xf numFmtId="171" fontId="50" fillId="9" borderId="0" xfId="15" applyFont="true" applyBorder="true" applyAlignment="true" applyProtection="true">
      <alignment horizontal="center" vertical="center" textRotation="0" wrapText="true" indent="0" shrinkToFit="false"/>
      <protection locked="true" hidden="false"/>
    </xf>
    <xf numFmtId="171" fontId="51" fillId="9" borderId="49" xfId="15" applyFont="true" applyBorder="true" applyAlignment="true" applyProtection="true">
      <alignment horizontal="general" vertical="center" textRotation="0" wrapText="true" indent="0" shrinkToFit="false"/>
      <protection locked="true" hidden="false"/>
    </xf>
    <xf numFmtId="164" fontId="57" fillId="10" borderId="29" xfId="0" applyFont="true" applyBorder="true" applyAlignment="true" applyProtection="true">
      <alignment horizontal="center" vertical="center" textRotation="0" wrapText="true" indent="0" shrinkToFit="false"/>
      <protection locked="true" hidden="false"/>
    </xf>
    <xf numFmtId="164" fontId="57" fillId="10" borderId="30" xfId="0" applyFont="true" applyBorder="true" applyAlignment="true" applyProtection="true">
      <alignment horizontal="center" vertical="center" textRotation="0" wrapText="true" indent="0" shrinkToFit="false"/>
      <protection locked="true" hidden="false"/>
    </xf>
    <xf numFmtId="171" fontId="51" fillId="9" borderId="53" xfId="15" applyFont="true" applyBorder="true" applyAlignment="true" applyProtection="true">
      <alignment horizontal="general" vertical="center" textRotation="0" wrapText="true" indent="0" shrinkToFit="false"/>
      <protection locked="true" hidden="false"/>
    </xf>
    <xf numFmtId="164" fontId="53" fillId="10" borderId="46" xfId="0" applyFont="true" applyBorder="true" applyAlignment="true" applyProtection="true">
      <alignment horizontal="right" vertical="center" textRotation="0" wrapText="true" indent="0" shrinkToFit="false"/>
      <protection locked="true" hidden="false"/>
    </xf>
    <xf numFmtId="166" fontId="51" fillId="9" borderId="54" xfId="0" applyFont="true" applyBorder="true" applyAlignment="true" applyProtection="true">
      <alignment horizontal="general" vertical="center" textRotation="0" wrapText="true" indent="0" shrinkToFit="false"/>
      <protection locked="true" hidden="false"/>
    </xf>
    <xf numFmtId="167" fontId="51" fillId="9" borderId="55" xfId="19" applyFont="true" applyBorder="true" applyAlignment="true" applyProtection="true">
      <alignment horizontal="general" vertical="center" textRotation="0" wrapText="true" indent="0" shrinkToFit="false"/>
      <protection locked="true" hidden="false"/>
    </xf>
    <xf numFmtId="166" fontId="51" fillId="9" borderId="56" xfId="0" applyFont="true" applyBorder="true" applyAlignment="true" applyProtection="true">
      <alignment horizontal="general" vertical="center" textRotation="0" wrapText="true" indent="0" shrinkToFit="false"/>
      <protection locked="true" hidden="false"/>
    </xf>
    <xf numFmtId="167" fontId="51" fillId="9" borderId="48" xfId="19" applyFont="true" applyBorder="true" applyAlignment="true" applyProtection="true">
      <alignment horizontal="general" vertical="center" textRotation="0" wrapText="true" indent="0" shrinkToFit="false"/>
      <protection locked="true" hidden="false"/>
    </xf>
    <xf numFmtId="166" fontId="51" fillId="9" borderId="57" xfId="0" applyFont="true" applyBorder="true" applyAlignment="true" applyProtection="true">
      <alignment horizontal="general" vertical="center" textRotation="0" wrapText="true" indent="0" shrinkToFit="false"/>
      <protection locked="true" hidden="false"/>
    </xf>
    <xf numFmtId="167" fontId="51" fillId="9" borderId="58" xfId="19" applyFont="true" applyBorder="true" applyAlignment="true" applyProtection="true">
      <alignment horizontal="general" vertical="center" textRotation="0" wrapText="true" indent="0" shrinkToFit="false"/>
      <protection locked="true" hidden="false"/>
    </xf>
    <xf numFmtId="171" fontId="51" fillId="9" borderId="59" xfId="15" applyFont="true" applyBorder="true" applyAlignment="true" applyProtection="true">
      <alignment horizontal="general" vertical="center" textRotation="0" wrapText="true" indent="0" shrinkToFit="false"/>
      <protection locked="true" hidden="false"/>
    </xf>
    <xf numFmtId="164" fontId="53" fillId="16" borderId="40" xfId="0" applyFont="true" applyBorder="true" applyAlignment="true" applyProtection="true">
      <alignment horizontal="right" vertical="center" textRotation="0" wrapText="true" indent="0" shrinkToFit="false"/>
      <protection locked="true" hidden="false"/>
    </xf>
    <xf numFmtId="167" fontId="51" fillId="9" borderId="52" xfId="19" applyFont="true" applyBorder="true" applyAlignment="true" applyProtection="true">
      <alignment horizontal="right" vertical="center" textRotation="0" wrapText="true" indent="0" shrinkToFit="false"/>
      <protection locked="true" hidden="false"/>
    </xf>
    <xf numFmtId="164" fontId="53" fillId="16" borderId="60" xfId="0" applyFont="true" applyBorder="true" applyAlignment="true" applyProtection="true">
      <alignment horizontal="right" vertical="center" textRotation="0" wrapText="true" indent="0" shrinkToFit="false"/>
      <protection locked="true" hidden="false"/>
    </xf>
    <xf numFmtId="166" fontId="51" fillId="9" borderId="61" xfId="0" applyFont="true" applyBorder="true" applyAlignment="true" applyProtection="true">
      <alignment horizontal="general" vertical="center" textRotation="0" wrapText="true" indent="0" shrinkToFit="false"/>
      <protection locked="true" hidden="false"/>
    </xf>
    <xf numFmtId="164" fontId="57" fillId="10" borderId="24" xfId="0" applyFont="true" applyBorder="true" applyAlignment="true" applyProtection="true">
      <alignment horizontal="center" vertical="center" textRotation="0" wrapText="true" indent="0" shrinkToFit="false"/>
      <protection locked="true" hidden="false"/>
    </xf>
    <xf numFmtId="164" fontId="57" fillId="10" borderId="25" xfId="0" applyFont="true" applyBorder="true" applyAlignment="true" applyProtection="true">
      <alignment horizontal="center" vertical="center" textRotation="0" wrapText="true" indent="0" shrinkToFit="false"/>
      <protection locked="true" hidden="false"/>
    </xf>
    <xf numFmtId="166" fontId="60" fillId="9"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general" vertical="center" textRotation="0" wrapText="true" indent="0" shrinkToFit="false"/>
      <protection locked="true" hidden="false"/>
    </xf>
    <xf numFmtId="166" fontId="51" fillId="9" borderId="34" xfId="0" applyFont="true" applyBorder="true" applyAlignment="true" applyProtection="true">
      <alignment horizontal="general" vertical="center" textRotation="0" wrapText="true" indent="0" shrinkToFit="false"/>
      <protection locked="true" hidden="false"/>
    </xf>
    <xf numFmtId="167" fontId="51" fillId="9" borderId="62" xfId="19" applyFont="true" applyBorder="true" applyAlignment="true" applyProtection="true">
      <alignment horizontal="general" vertical="center" textRotation="0" wrapText="true" indent="0" shrinkToFit="false"/>
      <protection locked="true" hidden="false"/>
    </xf>
    <xf numFmtId="166" fontId="51" fillId="9" borderId="35" xfId="0" applyFont="true" applyBorder="true" applyAlignment="true" applyProtection="true">
      <alignment horizontal="general" vertical="center" textRotation="0" wrapText="true" indent="0" shrinkToFit="false"/>
      <protection locked="true" hidden="false"/>
    </xf>
    <xf numFmtId="166" fontId="51" fillId="9" borderId="36" xfId="0" applyFont="true" applyBorder="true" applyAlignment="true" applyProtection="true">
      <alignment horizontal="general" vertical="center" textRotation="0" wrapText="true" indent="0" shrinkToFit="false"/>
      <protection locked="true" hidden="false"/>
    </xf>
    <xf numFmtId="167" fontId="51" fillId="9" borderId="49" xfId="19" applyFont="true" applyBorder="true" applyAlignment="true" applyProtection="true">
      <alignment horizontal="general" vertical="center" textRotation="0" wrapText="true" indent="0" shrinkToFit="false"/>
      <protection locked="true" hidden="false"/>
    </xf>
    <xf numFmtId="164" fontId="53" fillId="9" borderId="0" xfId="0" applyFont="true" applyBorder="true" applyAlignment="true" applyProtection="true">
      <alignment horizontal="general" vertical="center" textRotation="0" wrapText="true" indent="0" shrinkToFit="false"/>
      <protection locked="true" hidden="false"/>
    </xf>
    <xf numFmtId="164" fontId="53" fillId="9" borderId="39" xfId="0" applyFont="true" applyBorder="true" applyAlignment="true" applyProtection="true">
      <alignment horizontal="general" vertical="center" textRotation="0" wrapText="true" indent="0" shrinkToFit="false"/>
      <protection locked="true" hidden="false"/>
    </xf>
    <xf numFmtId="164" fontId="53" fillId="9"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general" vertical="center" textRotation="0" wrapText="true" indent="0" shrinkToFit="false"/>
      <protection locked="true" hidden="false"/>
    </xf>
    <xf numFmtId="166" fontId="51" fillId="9" borderId="41" xfId="0" applyFont="true" applyBorder="true" applyAlignment="true" applyProtection="true">
      <alignment horizontal="general" vertical="center" textRotation="0" wrapText="true" indent="0" shrinkToFit="false"/>
      <protection locked="true" hidden="false"/>
    </xf>
    <xf numFmtId="167" fontId="51" fillId="9" borderId="61" xfId="19" applyFont="true" applyBorder="true" applyAlignment="true" applyProtection="true">
      <alignment horizontal="general" vertical="center" textRotation="0" wrapText="true" indent="0" shrinkToFit="false"/>
      <protection locked="true" hidden="false"/>
    </xf>
    <xf numFmtId="165" fontId="61" fillId="9" borderId="0" xfId="0" applyFont="true" applyBorder="false" applyAlignment="true" applyProtection="false">
      <alignment horizontal="general" vertical="bottom" textRotation="0" wrapText="true" indent="0" shrinkToFit="false"/>
      <protection locked="true" hidden="false"/>
    </xf>
    <xf numFmtId="164" fontId="53" fillId="9" borderId="18" xfId="0" applyFont="true" applyBorder="true" applyAlignment="true" applyProtection="true">
      <alignment horizontal="general" vertical="center" textRotation="0" wrapText="true" indent="0" shrinkToFit="false"/>
      <protection locked="true" hidden="false"/>
    </xf>
    <xf numFmtId="164" fontId="51" fillId="15" borderId="40" xfId="0" applyFont="true" applyBorder="true" applyAlignment="true" applyProtection="true">
      <alignment horizontal="center" vertical="center" textRotation="90" wrapText="true" indent="0" shrinkToFit="false"/>
      <protection locked="true" hidden="false"/>
    </xf>
    <xf numFmtId="168" fontId="43" fillId="15" borderId="42" xfId="0" applyFont="true" applyBorder="true" applyAlignment="true" applyProtection="false">
      <alignment horizontal="center" vertical="center" textRotation="0" wrapText="true" indent="0" shrinkToFit="false"/>
      <protection locked="true" hidden="false"/>
    </xf>
    <xf numFmtId="168" fontId="43" fillId="15" borderId="43" xfId="0" applyFont="true" applyBorder="true" applyAlignment="true" applyProtection="false">
      <alignment horizontal="center" vertical="center" textRotation="0" wrapText="true" indent="0" shrinkToFit="false"/>
      <protection locked="true" hidden="false"/>
    </xf>
    <xf numFmtId="168" fontId="43" fillId="15" borderId="44" xfId="0" applyFont="true" applyBorder="true" applyAlignment="true" applyProtection="false">
      <alignment horizontal="center" vertical="center" textRotation="0" wrapText="true" indent="0" shrinkToFit="false"/>
      <protection locked="true" hidden="false"/>
    </xf>
    <xf numFmtId="165" fontId="61" fillId="9" borderId="0" xfId="0" applyFont="true" applyBorder="true" applyAlignment="true" applyProtection="false">
      <alignment horizontal="center" vertical="bottom" textRotation="0" wrapText="true" indent="0" shrinkToFit="false"/>
      <protection locked="true" hidden="false"/>
    </xf>
    <xf numFmtId="164" fontId="53" fillId="10" borderId="0" xfId="0" applyFont="true" applyBorder="true" applyAlignment="true" applyProtection="true">
      <alignment horizontal="center" vertical="center" textRotation="90" wrapText="true" indent="0" shrinkToFit="false"/>
      <protection locked="true" hidden="false"/>
    </xf>
    <xf numFmtId="164" fontId="53" fillId="10" borderId="0" xfId="0" applyFont="true" applyBorder="true" applyAlignment="true" applyProtection="true">
      <alignment horizontal="left" vertical="center" textRotation="0" wrapText="true" indent="0" shrinkToFit="false"/>
      <protection locked="true" hidden="false"/>
    </xf>
    <xf numFmtId="164" fontId="54" fillId="10"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right" vertical="center" textRotation="0" wrapText="true" indent="0" shrinkToFit="false"/>
      <protection locked="true" hidden="false"/>
    </xf>
    <xf numFmtId="168" fontId="53" fillId="10" borderId="0" xfId="0" applyFont="true" applyBorder="true" applyAlignment="true" applyProtection="true">
      <alignment horizontal="right" vertical="center" textRotation="0" wrapText="true" indent="0" shrinkToFit="false"/>
      <protection locked="true" hidden="false"/>
    </xf>
    <xf numFmtId="165" fontId="53" fillId="10" borderId="0" xfId="0" applyFont="true" applyBorder="true" applyAlignment="true" applyProtection="true">
      <alignment horizontal="center" vertical="center" textRotation="0" wrapText="true" indent="0" shrinkToFit="false"/>
      <protection locked="true" hidden="false"/>
    </xf>
    <xf numFmtId="168" fontId="43" fillId="9" borderId="0" xfId="0" applyFont="true" applyBorder="true" applyAlignment="true" applyProtection="false">
      <alignment horizontal="center" vertical="center" textRotation="0" wrapText="true" indent="0" shrinkToFit="false"/>
      <protection locked="true" hidden="false"/>
    </xf>
    <xf numFmtId="168" fontId="46" fillId="9" borderId="19" xfId="0" applyFont="true" applyBorder="true" applyAlignment="true" applyProtection="false">
      <alignment horizontal="center" vertical="center" textRotation="0" wrapText="true" indent="0" shrinkToFit="false"/>
      <protection locked="true" hidden="false"/>
    </xf>
    <xf numFmtId="164" fontId="54" fillId="10" borderId="0" xfId="0" applyFont="true" applyBorder="true" applyAlignment="true" applyProtection="true">
      <alignment horizontal="general" vertical="center" textRotation="0" wrapText="true" indent="0" shrinkToFit="false"/>
      <protection locked="true" hidden="false"/>
    </xf>
    <xf numFmtId="164" fontId="43" fillId="9" borderId="40" xfId="0" applyFont="true" applyBorder="true" applyAlignment="true" applyProtection="false">
      <alignment horizontal="general" vertical="bottom" textRotation="0" wrapText="true" indent="0" shrinkToFit="false"/>
      <protection locked="true" hidden="false"/>
    </xf>
    <xf numFmtId="168" fontId="46" fillId="9" borderId="40" xfId="0" applyFont="true" applyBorder="true" applyAlignment="true" applyProtection="false">
      <alignment horizontal="center" vertical="center" textRotation="0" wrapText="true" indent="0" shrinkToFit="false"/>
      <protection locked="true" hidden="false"/>
    </xf>
    <xf numFmtId="168" fontId="46" fillId="9" borderId="45" xfId="0" applyFont="true" applyBorder="true" applyAlignment="true" applyProtection="false">
      <alignment horizontal="center" vertical="center" textRotation="0" wrapText="true" indent="0" shrinkToFit="false"/>
      <protection locked="true" hidden="false"/>
    </xf>
    <xf numFmtId="164" fontId="44" fillId="0" borderId="17" xfId="0" applyFont="true" applyBorder="true" applyAlignment="true" applyProtection="false">
      <alignment horizontal="center"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74" fontId="53" fillId="10" borderId="0" xfId="0" applyFont="true" applyBorder="true" applyAlignment="true" applyProtection="true">
      <alignment horizontal="left" vertical="center" textRotation="0" wrapText="true" indent="0" shrinkToFit="false"/>
      <protection locked="true" hidden="false"/>
    </xf>
    <xf numFmtId="169" fontId="43" fillId="9" borderId="0" xfId="0" applyFont="true" applyBorder="true" applyAlignment="true" applyProtection="false">
      <alignment horizontal="center" vertical="center" textRotation="0" wrapText="true" indent="0" shrinkToFit="false"/>
      <protection locked="true" hidden="false"/>
    </xf>
    <xf numFmtId="164" fontId="43" fillId="9"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64"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3" shrinkToFit="false"/>
      <protection locked="true" hidden="false"/>
    </xf>
    <xf numFmtId="165" fontId="65" fillId="9" borderId="0" xfId="0" applyFont="true" applyBorder="true" applyAlignment="true" applyProtection="true">
      <alignment horizontal="right" vertical="center" textRotation="0" wrapText="false" indent="0" shrinkToFit="false"/>
      <protection locked="true" hidden="false"/>
    </xf>
    <xf numFmtId="165" fontId="66" fillId="9" borderId="0" xfId="0" applyFont="true" applyBorder="true" applyAlignment="true" applyProtection="true">
      <alignment horizontal="left" vertical="top" textRotation="0" wrapText="false" indent="0" shrinkToFit="false"/>
      <protection locked="true" hidden="false"/>
    </xf>
    <xf numFmtId="164" fontId="26" fillId="9" borderId="0" xfId="0" applyFont="true" applyBorder="false" applyAlignment="true" applyProtection="true">
      <alignment horizontal="left" vertical="bottom" textRotation="0" wrapText="false" indent="3" shrinkToFit="false"/>
      <protection locked="true" hidden="false"/>
    </xf>
    <xf numFmtId="168" fontId="27" fillId="9" borderId="11" xfId="0" applyFont="true" applyBorder="true" applyAlignment="true" applyProtection="true">
      <alignment horizontal="general" vertical="center" textRotation="0" wrapText="false" indent="0" shrinkToFit="false"/>
      <protection locked="true" hidden="false"/>
    </xf>
    <xf numFmtId="165" fontId="17" fillId="9" borderId="63" xfId="0" applyFont="true" applyBorder="true" applyAlignment="true" applyProtection="true">
      <alignment horizontal="right" vertical="center" textRotation="0" wrapText="false" indent="0" shrinkToFit="false"/>
      <protection locked="true" hidden="false"/>
    </xf>
    <xf numFmtId="168" fontId="17" fillId="9" borderId="4" xfId="0" applyFont="true" applyBorder="true" applyAlignment="true" applyProtection="true">
      <alignment horizontal="right" vertical="center" textRotation="0" wrapText="false" indent="0" shrinkToFit="false"/>
      <protection locked="true" hidden="false"/>
    </xf>
    <xf numFmtId="168" fontId="17" fillId="9" borderId="64" xfId="0" applyFont="true" applyBorder="true" applyAlignment="true" applyProtection="true">
      <alignment horizontal="left" vertical="center" textRotation="0" wrapText="false" indent="0" shrinkToFit="false"/>
      <protection locked="true" hidden="false"/>
    </xf>
    <xf numFmtId="167" fontId="14" fillId="9" borderId="0" xfId="0" applyFont="true" applyBorder="false" applyAlignment="true" applyProtection="true">
      <alignment horizontal="left" vertical="center" textRotation="0" wrapText="false" indent="0" shrinkToFit="false"/>
      <protection locked="true" hidden="false"/>
    </xf>
    <xf numFmtId="164" fontId="32" fillId="9" borderId="4" xfId="0" applyFont="true" applyBorder="true" applyAlignment="true" applyProtection="true">
      <alignment horizontal="right" vertical="top" textRotation="0" wrapText="false" indent="0" shrinkToFit="false"/>
      <protection locked="true" hidden="false"/>
    </xf>
    <xf numFmtId="165" fontId="67" fillId="14" borderId="65" xfId="0" applyFont="true" applyBorder="true" applyAlignment="true" applyProtection="true">
      <alignment horizontal="right" vertical="center" textRotation="0" wrapText="true" indent="1" shrinkToFit="false"/>
      <protection locked="true" hidden="false"/>
    </xf>
    <xf numFmtId="165" fontId="68" fillId="14" borderId="12" xfId="0" applyFont="true" applyBorder="true" applyAlignment="true" applyProtection="true">
      <alignment horizontal="center" vertical="center" textRotation="0" wrapText="true" indent="0" shrinkToFit="false"/>
      <protection locked="true" hidden="false"/>
    </xf>
    <xf numFmtId="165" fontId="68" fillId="14" borderId="66" xfId="0" applyFont="true" applyBorder="true" applyAlignment="true" applyProtection="true">
      <alignment horizontal="center" vertical="center" textRotation="0" wrapText="true" indent="0" shrinkToFit="false"/>
      <protection locked="true" hidden="false"/>
    </xf>
    <xf numFmtId="165" fontId="68" fillId="10" borderId="67" xfId="0" applyFont="true" applyBorder="true" applyAlignment="true" applyProtection="true">
      <alignment horizontal="center" vertical="center" textRotation="0" wrapText="true" indent="0" shrinkToFit="false"/>
      <protection locked="true" hidden="false"/>
    </xf>
    <xf numFmtId="165" fontId="69" fillId="9" borderId="67" xfId="32" applyFont="true" applyBorder="true" applyAlignment="true" applyProtection="true">
      <alignment horizontal="left" vertical="center" textRotation="0" wrapText="true" indent="1" shrinkToFit="false"/>
      <protection locked="true" hidden="false"/>
    </xf>
    <xf numFmtId="168" fontId="69" fillId="10" borderId="68" xfId="0" applyFont="true" applyBorder="true" applyAlignment="true" applyProtection="true">
      <alignment horizontal="right" vertical="center" textRotation="0" wrapText="false" indent="0" shrinkToFit="false"/>
      <protection locked="true" hidden="false"/>
    </xf>
    <xf numFmtId="165" fontId="69" fillId="10" borderId="11" xfId="0" applyFont="true" applyBorder="true" applyAlignment="true" applyProtection="true">
      <alignment horizontal="center" vertical="center" textRotation="0" wrapText="false" indent="0" shrinkToFit="false"/>
      <protection locked="true" hidden="false"/>
    </xf>
    <xf numFmtId="168" fontId="69" fillId="10" borderId="11" xfId="0" applyFont="true" applyBorder="true" applyAlignment="true" applyProtection="true">
      <alignment horizontal="left" vertical="center" textRotation="0" wrapText="false" indent="0" shrinkToFit="false"/>
      <protection locked="true" hidden="false"/>
    </xf>
    <xf numFmtId="167" fontId="64" fillId="10" borderId="69" xfId="0" applyFont="true" applyBorder="true" applyAlignment="true" applyProtection="true">
      <alignment horizontal="center" vertical="center" textRotation="0" wrapText="false" indent="0" shrinkToFit="false"/>
      <protection locked="true" hidden="false"/>
    </xf>
    <xf numFmtId="165" fontId="68" fillId="10" borderId="70" xfId="0" applyFont="true" applyBorder="true" applyAlignment="true" applyProtection="true">
      <alignment horizontal="center" vertical="center" textRotation="0" wrapText="true" indent="0" shrinkToFit="false"/>
      <protection locked="true" hidden="false"/>
    </xf>
    <xf numFmtId="165" fontId="68" fillId="10" borderId="6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center" vertical="center" textRotation="0" wrapText="false" indent="0" shrinkToFit="false"/>
      <protection locked="true" hidden="false"/>
    </xf>
    <xf numFmtId="164" fontId="0" fillId="9" borderId="0" xfId="0" applyFont="false" applyBorder="false" applyAlignment="true" applyProtection="false">
      <alignment horizontal="left" vertical="center" textRotation="0" wrapText="false" indent="0" shrinkToFit="false"/>
      <protection locked="true" hidden="false"/>
    </xf>
    <xf numFmtId="167" fontId="0" fillId="9" borderId="0" xfId="0" applyFont="false" applyBorder="false" applyAlignment="true" applyProtection="false">
      <alignment horizontal="center"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9" shrinkToFit="false"/>
      <protection locked="true" hidden="false"/>
    </xf>
    <xf numFmtId="165" fontId="16" fillId="9" borderId="0" xfId="0" applyFont="true" applyBorder="true" applyAlignment="true" applyProtection="false">
      <alignment horizontal="left" vertical="bottom" textRotation="0" wrapText="false" indent="9" shrinkToFit="false"/>
      <protection locked="true" hidden="false"/>
    </xf>
    <xf numFmtId="164" fontId="70" fillId="9" borderId="0" xfId="0" applyFont="true" applyBorder="false" applyAlignment="true" applyProtection="false">
      <alignment horizontal="left" vertical="center" textRotation="0" wrapText="false" indent="0" shrinkToFit="false"/>
      <protection locked="true" hidden="false"/>
    </xf>
    <xf numFmtId="168" fontId="70" fillId="9" borderId="0" xfId="0" applyFont="true" applyBorder="true" applyAlignment="true" applyProtection="false">
      <alignment horizontal="center" vertical="center" textRotation="0" wrapText="false" indent="0" shrinkToFit="false"/>
      <protection locked="true" hidden="false"/>
    </xf>
    <xf numFmtId="164" fontId="71"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4" fontId="0" fillId="9" borderId="0" xfId="0" applyFont="true" applyBorder="false" applyAlignment="true" applyProtection="false">
      <alignment horizontal="left" vertical="center" textRotation="0" wrapText="false" indent="0" shrinkToFit="false"/>
      <protection locked="true" hidden="false"/>
    </xf>
    <xf numFmtId="164" fontId="7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true" applyProtection="false">
      <alignment horizontal="left" vertical="top" textRotation="0" wrapText="true" indent="0" shrinkToFit="false"/>
      <protection locked="true" hidden="false"/>
    </xf>
    <xf numFmtId="168" fontId="25" fillId="10" borderId="1" xfId="0" applyFont="true" applyBorder="true" applyAlignment="true" applyProtection="false">
      <alignment horizontal="left" vertical="center" textRotation="0" wrapText="false" indent="1" shrinkToFit="false"/>
      <protection locked="true" hidden="false"/>
    </xf>
    <xf numFmtId="168" fontId="19" fillId="9" borderId="71" xfId="0" applyFont="true" applyBorder="true" applyAlignment="true" applyProtection="false">
      <alignment horizontal="left" vertical="center" textRotation="0" wrapText="false" indent="1" shrinkToFit="false"/>
      <protection locked="true" hidden="false"/>
    </xf>
    <xf numFmtId="168" fontId="19" fillId="9" borderId="72" xfId="0" applyFont="true" applyBorder="true" applyAlignment="true" applyProtection="false">
      <alignment horizontal="right" vertical="center" textRotation="0" wrapText="false" indent="0" shrinkToFit="false"/>
      <protection locked="true" hidden="false"/>
    </xf>
    <xf numFmtId="165" fontId="19" fillId="9" borderId="72" xfId="0" applyFont="true" applyBorder="true" applyAlignment="true" applyProtection="false">
      <alignment horizontal="center" vertical="center" textRotation="0" wrapText="false" indent="0" shrinkToFit="false"/>
      <protection locked="true" hidden="false"/>
    </xf>
    <xf numFmtId="168" fontId="19" fillId="9" borderId="72" xfId="0" applyFont="true" applyBorder="true" applyAlignment="true" applyProtection="false">
      <alignment horizontal="left" vertical="center" textRotation="0" wrapText="false" indent="0" shrinkToFit="false"/>
      <protection locked="true" hidden="false"/>
    </xf>
    <xf numFmtId="167" fontId="17" fillId="9" borderId="73" xfId="0" applyFont="true" applyBorder="true" applyAlignment="true" applyProtection="false">
      <alignment horizontal="right" vertical="center" textRotation="0" wrapText="false" indent="1" shrinkToFit="false"/>
      <protection locked="true" hidden="false"/>
    </xf>
    <xf numFmtId="167" fontId="72" fillId="0" borderId="0" xfId="19" applyFont="true" applyBorder="true" applyAlignment="true" applyProtection="true">
      <alignment horizontal="general" vertical="center" textRotation="0" wrapText="false" indent="0" shrinkToFit="false"/>
      <protection locked="true" hidden="false"/>
    </xf>
    <xf numFmtId="168" fontId="25" fillId="10" borderId="71" xfId="0" applyFont="true" applyBorder="true" applyAlignment="true" applyProtection="false">
      <alignment horizontal="left" vertical="center" textRotation="0" wrapText="false" indent="1" shrinkToFit="false"/>
      <protection locked="true" hidden="false"/>
    </xf>
    <xf numFmtId="168" fontId="25" fillId="10" borderId="72" xfId="0" applyFont="true" applyBorder="true" applyAlignment="true" applyProtection="false">
      <alignment horizontal="right" vertical="center" textRotation="0" wrapText="false" indent="0" shrinkToFit="false"/>
      <protection locked="true" hidden="false"/>
    </xf>
    <xf numFmtId="165" fontId="25" fillId="10" borderId="72" xfId="0" applyFont="true" applyBorder="true" applyAlignment="true" applyProtection="false">
      <alignment horizontal="center" vertical="center" textRotation="0" wrapText="false" indent="0" shrinkToFit="false"/>
      <protection locked="true" hidden="false"/>
    </xf>
    <xf numFmtId="168" fontId="25" fillId="10" borderId="72" xfId="0" applyFont="true" applyBorder="true" applyAlignment="true" applyProtection="false">
      <alignment horizontal="left" vertical="center" textRotation="0" wrapText="false" indent="0" shrinkToFit="false"/>
      <protection locked="true" hidden="false"/>
    </xf>
    <xf numFmtId="167" fontId="25" fillId="10" borderId="73" xfId="0" applyFont="true" applyBorder="true" applyAlignment="true" applyProtection="false">
      <alignment horizontal="right" vertical="center" textRotation="0" wrapText="false" indent="1" shrinkToFit="false"/>
      <protection locked="true" hidden="false"/>
    </xf>
    <xf numFmtId="167" fontId="17" fillId="9" borderId="73"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5" fontId="19" fillId="10" borderId="72" xfId="0" applyFont="true" applyBorder="true" applyAlignment="true" applyProtection="false">
      <alignment horizontal="center" vertical="center" textRotation="0" wrapText="false" indent="0" shrinkToFit="false"/>
      <protection locked="true" hidden="false"/>
    </xf>
    <xf numFmtId="167" fontId="25" fillId="10" borderId="73" xfId="0" applyFont="true" applyBorder="true" applyAlignment="true" applyProtection="false">
      <alignment horizontal="center" vertical="center" textRotation="0" wrapText="false" indent="0" shrinkToFit="false"/>
      <protection locked="true" hidden="false"/>
    </xf>
    <xf numFmtId="164" fontId="75" fillId="9" borderId="0" xfId="0" applyFont="true" applyBorder="true" applyAlignment="true" applyProtection="false">
      <alignment horizontal="general" vertical="center" textRotation="0" wrapText="false" indent="0" shrinkToFit="false"/>
      <protection locked="true" hidden="false"/>
    </xf>
    <xf numFmtId="164" fontId="76" fillId="9" borderId="0" xfId="0" applyFont="true" applyBorder="true" applyAlignment="true" applyProtection="false">
      <alignment horizontal="general" vertical="center" textRotation="0" wrapText="false" indent="0" shrinkToFit="false"/>
      <protection locked="true" hidden="false"/>
    </xf>
    <xf numFmtId="165" fontId="17" fillId="9" borderId="0" xfId="0" applyFont="true" applyBorder="false" applyAlignment="true" applyProtection="false">
      <alignment horizontal="left" vertical="center" textRotation="0" wrapText="false" indent="0" shrinkToFit="false"/>
      <protection locked="true" hidden="false"/>
    </xf>
    <xf numFmtId="164" fontId="64"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5" fontId="75" fillId="9" borderId="74" xfId="0" applyFont="true" applyBorder="true" applyAlignment="true" applyProtection="false">
      <alignment horizontal="left" vertical="center" textRotation="0" wrapText="false" indent="0" shrinkToFit="false"/>
      <protection locked="true" hidden="false"/>
    </xf>
    <xf numFmtId="165" fontId="32" fillId="9" borderId="74" xfId="0" applyFont="true" applyBorder="true" applyAlignment="true" applyProtection="false">
      <alignment horizontal="general" vertical="center" textRotation="0" wrapText="true" indent="0" shrinkToFit="false"/>
      <protection locked="true" hidden="false"/>
    </xf>
    <xf numFmtId="165" fontId="75" fillId="9" borderId="0" xfId="0" applyFont="true" applyBorder="true" applyAlignment="true" applyProtection="false">
      <alignment horizontal="left" vertical="center" textRotation="0" wrapText="false" indent="0" shrinkToFit="false"/>
      <protection locked="true" hidden="false"/>
    </xf>
    <xf numFmtId="165" fontId="32" fillId="9" borderId="0" xfId="0" applyFont="true" applyBorder="true" applyAlignment="true" applyProtection="false">
      <alignment horizontal="general" vertical="center" textRotation="0" wrapText="true" indent="0" shrinkToFit="false"/>
      <protection locked="true" hidden="false"/>
    </xf>
    <xf numFmtId="164" fontId="75" fillId="9" borderId="75"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true" indent="0" shrinkToFit="false"/>
      <protection locked="true" hidden="false"/>
    </xf>
    <xf numFmtId="164" fontId="75" fillId="9" borderId="77" xfId="0"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68" fillId="14" borderId="18" xfId="0" applyFont="true" applyBorder="true" applyAlignment="true" applyProtection="false">
      <alignment horizontal="center" vertical="center" textRotation="0" wrapText="true" indent="0" shrinkToFit="false"/>
      <protection locked="true" hidden="false"/>
    </xf>
    <xf numFmtId="164" fontId="77" fillId="14" borderId="18" xfId="0" applyFont="true" applyBorder="true" applyAlignment="true" applyProtection="false">
      <alignment horizontal="general" vertical="center" textRotation="0" wrapText="true" indent="0" shrinkToFit="false"/>
      <protection locked="true" hidden="false"/>
    </xf>
    <xf numFmtId="164" fontId="78" fillId="14" borderId="0" xfId="0" applyFont="true" applyBorder="true" applyAlignment="true" applyProtection="false">
      <alignment horizontal="general" vertical="center" textRotation="0" wrapText="true" indent="0" shrinkToFit="false"/>
      <protection locked="true" hidden="false"/>
    </xf>
    <xf numFmtId="164" fontId="79" fillId="0" borderId="78" xfId="0" applyFont="true" applyBorder="true" applyAlignment="true" applyProtection="false">
      <alignment horizontal="center" vertical="center" textRotation="0" wrapText="true" indent="0" shrinkToFit="false"/>
      <protection locked="true" hidden="false"/>
    </xf>
    <xf numFmtId="166" fontId="79" fillId="0" borderId="78" xfId="0" applyFont="true" applyBorder="true" applyAlignment="true" applyProtection="true">
      <alignment horizontal="center" vertical="center" textRotation="0" wrapText="true" indent="0" shrinkToFit="false"/>
      <protection locked="true" hidden="false"/>
    </xf>
    <xf numFmtId="166" fontId="79" fillId="10" borderId="17" xfId="0" applyFont="true" applyBorder="true" applyAlignment="true" applyProtection="true">
      <alignment horizontal="center" vertical="center" textRotation="0" wrapText="true" indent="0" shrinkToFit="false"/>
      <protection locked="true" hidden="false"/>
    </xf>
    <xf numFmtId="166" fontId="79" fillId="10" borderId="78" xfId="0" applyFont="true" applyBorder="true" applyAlignment="true" applyProtection="true">
      <alignment horizontal="center" vertical="center" textRotation="0" wrapText="true" indent="0" shrinkToFit="false"/>
      <protection locked="true" hidden="false"/>
    </xf>
    <xf numFmtId="166" fontId="79" fillId="10" borderId="79" xfId="0" applyFont="true" applyBorder="true" applyAlignment="true" applyProtection="true">
      <alignment horizontal="center" vertical="center" textRotation="0" wrapText="true" indent="0" shrinkToFit="false"/>
      <protection locked="true" hidden="false"/>
    </xf>
    <xf numFmtId="164" fontId="79" fillId="0" borderId="80"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77" fillId="14" borderId="39" xfId="0" applyFont="true" applyBorder="true" applyAlignment="true" applyProtection="false">
      <alignment horizontal="general" vertical="center" textRotation="0" wrapText="true" indent="0" shrinkToFit="false"/>
      <protection locked="true" hidden="false"/>
    </xf>
    <xf numFmtId="164" fontId="77" fillId="14" borderId="40"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center" vertical="center" textRotation="0" wrapText="true" indent="0" shrinkToFit="false"/>
      <protection locked="true" hidden="false"/>
    </xf>
    <xf numFmtId="164" fontId="81" fillId="0" borderId="45"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general" vertical="center" textRotation="0" wrapText="true" indent="0" shrinkToFit="false"/>
      <protection locked="true" hidden="false"/>
    </xf>
    <xf numFmtId="164" fontId="80" fillId="0" borderId="40" xfId="0" applyFont="true" applyBorder="true" applyAlignment="true" applyProtection="false">
      <alignment horizontal="general" vertical="center" textRotation="0" wrapText="true" indent="0" shrinkToFit="false"/>
      <protection locked="true" hidden="false"/>
    </xf>
    <xf numFmtId="166" fontId="80" fillId="10" borderId="39" xfId="0" applyFont="true" applyBorder="true" applyAlignment="true" applyProtection="true">
      <alignment horizontal="center" vertical="center" textRotation="0" wrapText="true" indent="0" shrinkToFit="false"/>
      <protection locked="true" hidden="false"/>
    </xf>
    <xf numFmtId="166" fontId="80" fillId="10" borderId="45" xfId="0" applyFont="true" applyBorder="true" applyAlignment="true" applyProtection="true">
      <alignment horizontal="center" vertical="center" textRotation="0" wrapText="true" indent="0" shrinkToFit="false"/>
      <protection locked="true" hidden="false"/>
    </xf>
    <xf numFmtId="166" fontId="80" fillId="10" borderId="40" xfId="0" applyFont="true" applyBorder="true" applyAlignment="true" applyProtection="true">
      <alignment horizontal="center" vertical="center" textRotation="0" wrapText="true" indent="0" shrinkToFit="false"/>
      <protection locked="true" hidden="false"/>
    </xf>
    <xf numFmtId="164" fontId="32" fillId="0" borderId="81" xfId="0" applyFont="true" applyBorder="true" applyAlignment="true" applyProtection="false">
      <alignment horizontal="general" vertical="center" textRotation="0" wrapText="true" indent="0" shrinkToFit="false"/>
      <protection locked="true" hidden="false"/>
    </xf>
    <xf numFmtId="164" fontId="80" fillId="0" borderId="46" xfId="0" applyFont="true" applyBorder="true" applyAlignment="true" applyProtection="false">
      <alignment horizontal="center" vertical="center" textRotation="0" wrapText="true" indent="0" shrinkToFit="false"/>
      <protection locked="true" hidden="false"/>
    </xf>
    <xf numFmtId="164" fontId="81" fillId="0" borderId="82" xfId="0" applyFont="true" applyBorder="true" applyAlignment="true" applyProtection="false">
      <alignment horizontal="general" vertical="center" textRotation="0" wrapText="true" indent="0" shrinkToFit="false"/>
      <protection locked="true" hidden="false"/>
    </xf>
    <xf numFmtId="164" fontId="77" fillId="14" borderId="83" xfId="0" applyFont="true" applyBorder="true" applyAlignment="true" applyProtection="false">
      <alignment horizontal="general" vertical="center" textRotation="0" wrapText="true" indent="0" shrinkToFit="false"/>
      <protection locked="true" hidden="false"/>
    </xf>
    <xf numFmtId="165" fontId="77" fillId="14" borderId="84"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center" vertical="center" textRotation="0" wrapText="true" indent="0" shrinkToFit="false"/>
      <protection locked="true" hidden="false"/>
    </xf>
    <xf numFmtId="164" fontId="81" fillId="0" borderId="85"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general" vertical="center" textRotation="0" wrapText="true" indent="0" shrinkToFit="false"/>
      <protection locked="true" hidden="false"/>
    </xf>
    <xf numFmtId="164" fontId="81" fillId="0" borderId="84" xfId="0" applyFont="true" applyBorder="true" applyAlignment="true" applyProtection="false">
      <alignment horizontal="general" vertical="center" textRotation="0" wrapText="true" indent="0" shrinkToFit="false"/>
      <protection locked="true" hidden="false"/>
    </xf>
    <xf numFmtId="166" fontId="81" fillId="10" borderId="39" xfId="0" applyFont="true" applyBorder="true" applyAlignment="true" applyProtection="true">
      <alignment horizontal="center" vertical="center" textRotation="0" wrapText="true" indent="0" shrinkToFit="false"/>
      <protection locked="true" hidden="false"/>
    </xf>
    <xf numFmtId="166" fontId="81" fillId="10" borderId="85" xfId="0" applyFont="true" applyBorder="true" applyAlignment="true" applyProtection="true">
      <alignment horizontal="center" vertical="center" textRotation="0" wrapText="true" indent="0" shrinkToFit="false"/>
      <protection locked="true" hidden="false"/>
    </xf>
    <xf numFmtId="166" fontId="81" fillId="10" borderId="84" xfId="0" applyFont="true" applyBorder="true" applyAlignment="true" applyProtection="true">
      <alignment horizontal="center" vertical="center" textRotation="0" wrapText="true" indent="0" shrinkToFit="false"/>
      <protection locked="true" hidden="false"/>
    </xf>
    <xf numFmtId="166" fontId="80" fillId="10" borderId="85" xfId="0" applyFont="true" applyBorder="true" applyAlignment="true" applyProtection="true">
      <alignment horizontal="center" vertical="center" textRotation="0" wrapText="true" indent="0" shrinkToFit="false"/>
      <protection locked="true" hidden="false"/>
    </xf>
    <xf numFmtId="164" fontId="81" fillId="0" borderId="46" xfId="0" applyFont="true" applyBorder="true" applyAlignment="true" applyProtection="false">
      <alignment horizontal="general" vertical="center" textRotation="0" wrapText="true" indent="0" shrinkToFit="false"/>
      <protection locked="true" hidden="false"/>
    </xf>
    <xf numFmtId="164" fontId="77" fillId="14" borderId="86"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center" vertical="center" textRotation="0" wrapText="true" indent="0" shrinkToFit="false"/>
      <protection locked="true" hidden="false"/>
    </xf>
    <xf numFmtId="164" fontId="81" fillId="0" borderId="87"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general" vertical="center" textRotation="0" wrapText="true" indent="0" shrinkToFit="false"/>
      <protection locked="true" hidden="false"/>
    </xf>
    <xf numFmtId="164" fontId="81" fillId="0" borderId="88" xfId="0" applyFont="true" applyBorder="true" applyAlignment="true" applyProtection="false">
      <alignment horizontal="general" vertical="center" textRotation="0" wrapText="true" indent="0" shrinkToFit="false"/>
      <protection locked="true" hidden="false"/>
    </xf>
    <xf numFmtId="166" fontId="81" fillId="10" borderId="86" xfId="0" applyFont="true" applyBorder="true" applyAlignment="true" applyProtection="true">
      <alignment horizontal="center" vertical="center" textRotation="0" wrapText="true" indent="0" shrinkToFit="false"/>
      <protection locked="true" hidden="false"/>
    </xf>
    <xf numFmtId="166" fontId="80" fillId="10" borderId="87" xfId="0" applyFont="true" applyBorder="true" applyAlignment="true" applyProtection="true">
      <alignment horizontal="center" vertical="center" textRotation="0" wrapText="true" indent="0" shrinkToFit="false"/>
      <protection locked="true" hidden="false"/>
    </xf>
    <xf numFmtId="166" fontId="81" fillId="10" borderId="88" xfId="0" applyFont="true" applyBorder="true" applyAlignment="true" applyProtection="true">
      <alignment horizontal="center" vertical="center" textRotation="0" wrapText="true" indent="0" shrinkToFit="false"/>
      <protection locked="true" hidden="false"/>
    </xf>
    <xf numFmtId="164" fontId="81" fillId="0" borderId="89" xfId="0" applyFont="true" applyBorder="true" applyAlignment="true" applyProtection="false">
      <alignment horizontal="general" vertical="center" textRotation="0" wrapText="true" indent="0" shrinkToFit="false"/>
      <protection locked="true" hidden="false"/>
    </xf>
    <xf numFmtId="164" fontId="81" fillId="0" borderId="90" xfId="0" applyFont="true" applyBorder="true" applyAlignment="true" applyProtection="false">
      <alignment horizontal="general" vertical="center" textRotation="0" wrapText="true" indent="0" shrinkToFit="false"/>
      <protection locked="true" hidden="false"/>
    </xf>
    <xf numFmtId="164" fontId="81" fillId="0" borderId="91" xfId="0" applyFont="true" applyBorder="true" applyAlignment="true" applyProtection="false">
      <alignment horizontal="general" vertical="center" textRotation="0" wrapText="true" indent="0" shrinkToFit="false"/>
      <protection locked="true" hidden="false"/>
    </xf>
    <xf numFmtId="164" fontId="81" fillId="0" borderId="19" xfId="0" applyFont="true" applyBorder="true" applyAlignment="true" applyProtection="false">
      <alignment horizontal="general" vertical="center" textRotation="0" wrapText="true" indent="0" shrinkToFit="false"/>
      <protection locked="true" hidden="false"/>
    </xf>
    <xf numFmtId="164" fontId="81" fillId="0" borderId="18"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6" fontId="81" fillId="10" borderId="87" xfId="0" applyFont="true" applyBorder="true" applyAlignment="true" applyProtection="true">
      <alignment horizontal="center" vertical="center" textRotation="0" wrapText="true" indent="0" shrinkToFit="false"/>
      <protection locked="true" hidden="false"/>
    </xf>
    <xf numFmtId="164" fontId="81" fillId="0" borderId="92" xfId="0" applyFont="true" applyBorder="true" applyAlignment="true" applyProtection="false">
      <alignment horizontal="general" vertical="center" textRotation="0" wrapText="true" indent="0" shrinkToFit="false"/>
      <protection locked="true" hidden="false"/>
    </xf>
    <xf numFmtId="164" fontId="81" fillId="0" borderId="93" xfId="0" applyFont="true" applyBorder="true" applyAlignment="true" applyProtection="false">
      <alignment horizontal="general" vertical="center" textRotation="0" wrapText="true" indent="0" shrinkToFit="false"/>
      <protection locked="true" hidden="false"/>
    </xf>
    <xf numFmtId="164" fontId="81" fillId="0" borderId="94" xfId="0" applyFont="true" applyBorder="true" applyAlignment="true" applyProtection="false">
      <alignment horizontal="general" vertical="center" textRotation="0" wrapText="true" indent="0" shrinkToFit="false"/>
      <protection locked="true" hidden="false"/>
    </xf>
    <xf numFmtId="164" fontId="81" fillId="0" borderId="95" xfId="0" applyFont="true" applyBorder="true" applyAlignment="true" applyProtection="false">
      <alignment horizontal="general" vertical="center" textRotation="0" wrapText="true" indent="0" shrinkToFit="false"/>
      <protection locked="true" hidden="false"/>
    </xf>
    <xf numFmtId="164" fontId="32" fillId="0" borderId="96" xfId="0" applyFont="true" applyBorder="true" applyAlignment="true" applyProtection="false">
      <alignment horizontal="general" vertical="center" textRotation="0" wrapText="true" indent="0" shrinkToFit="false"/>
      <protection locked="true" hidden="false"/>
    </xf>
    <xf numFmtId="164" fontId="81" fillId="0" borderId="51" xfId="0" applyFont="true" applyBorder="true" applyAlignment="true" applyProtection="false">
      <alignment horizontal="general" vertical="center" textRotation="0" wrapText="true" indent="0" shrinkToFit="false"/>
      <protection locked="true" hidden="false"/>
    </xf>
    <xf numFmtId="164" fontId="32" fillId="0" borderId="97" xfId="0" applyFont="true" applyBorder="true" applyAlignment="true" applyProtection="false">
      <alignment horizontal="general" vertical="center" textRotation="0" wrapText="true" indent="0" shrinkToFit="false"/>
      <protection locked="true" hidden="false"/>
    </xf>
    <xf numFmtId="164" fontId="77" fillId="14" borderId="98" xfId="0" applyFont="true" applyBorder="true" applyAlignment="true" applyProtection="false">
      <alignment horizontal="general" vertical="center" textRotation="0" wrapText="true" indent="0" shrinkToFit="false"/>
      <protection locked="true" hidden="false"/>
    </xf>
    <xf numFmtId="165" fontId="32" fillId="0" borderId="15" xfId="0" applyFont="true" applyBorder="true" applyAlignment="true" applyProtection="false">
      <alignment horizontal="general" vertical="center" textRotation="0" wrapText="true" indent="0" shrinkToFit="false"/>
      <protection locked="true" hidden="false"/>
    </xf>
    <xf numFmtId="164" fontId="32" fillId="0" borderId="16" xfId="0" applyFont="true" applyBorder="true" applyAlignment="true" applyProtection="false">
      <alignment horizontal="general" vertical="center" textRotation="0" wrapText="true" indent="0" shrinkToFit="false"/>
      <protection locked="true" hidden="false"/>
    </xf>
    <xf numFmtId="167" fontId="32" fillId="0" borderId="16" xfId="19" applyFont="true" applyBorder="true" applyAlignment="true" applyProtection="tru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75" fontId="32" fillId="0" borderId="16" xfId="0" applyFont="true" applyBorder="true" applyAlignment="true" applyProtection="false">
      <alignment horizontal="general" vertical="center" textRotation="0" wrapText="true" indent="0" shrinkToFit="false"/>
      <protection locked="true" hidden="false"/>
    </xf>
    <xf numFmtId="175" fontId="32" fillId="0" borderId="17" xfId="0" applyFont="true" applyBorder="true" applyAlignment="true" applyProtection="false">
      <alignment horizontal="general" vertical="center" textRotation="0" wrapText="true" indent="0" shrinkToFit="false"/>
      <protection locked="true" hidden="false"/>
    </xf>
    <xf numFmtId="165" fontId="32" fillId="0" borderId="18"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general" vertical="center" textRotation="0" wrapText="true" indent="0" shrinkToFit="false"/>
      <protection locked="true" hidden="false"/>
    </xf>
    <xf numFmtId="167" fontId="32" fillId="0" borderId="0" xfId="19" applyFont="true" applyBorder="true" applyAlignment="true" applyProtection="true">
      <alignment horizontal="center" vertical="center" textRotation="0" wrapText="true" indent="0" shrinkToFit="false"/>
      <protection locked="true" hidden="false"/>
    </xf>
    <xf numFmtId="165" fontId="32" fillId="0" borderId="0" xfId="0" applyFont="true" applyBorder="true" applyAlignment="true" applyProtection="false">
      <alignment horizontal="center" vertical="center" textRotation="0" wrapText="true" indent="0" shrinkToFit="false"/>
      <protection locked="true" hidden="false"/>
    </xf>
    <xf numFmtId="175" fontId="32" fillId="0" borderId="0" xfId="0" applyFont="true" applyBorder="true" applyAlignment="true" applyProtection="false">
      <alignment horizontal="general" vertical="center" textRotation="0" wrapText="true" indent="0" shrinkToFit="false"/>
      <protection locked="true" hidden="false"/>
    </xf>
    <xf numFmtId="175" fontId="32" fillId="0" borderId="19" xfId="0" applyFont="true" applyBorder="true" applyAlignment="true" applyProtection="false">
      <alignment horizontal="general" vertical="center" textRotation="0" wrapText="true" indent="0" shrinkToFit="false"/>
      <protection locked="true" hidden="false"/>
    </xf>
    <xf numFmtId="167" fontId="32" fillId="0" borderId="0" xfId="0" applyFont="true" applyBorder="true" applyAlignment="true" applyProtection="false">
      <alignment horizontal="center" vertical="center" textRotation="0" wrapText="true" indent="0" shrinkToFit="false"/>
      <protection locked="true" hidden="false"/>
    </xf>
    <xf numFmtId="164" fontId="32" fillId="0" borderId="39" xfId="0" applyFont="true" applyBorder="true" applyAlignment="true" applyProtection="false">
      <alignment horizontal="general" vertical="center" textRotation="0" wrapText="true" indent="0" shrinkToFit="false"/>
      <protection locked="true" hidden="false"/>
    </xf>
    <xf numFmtId="164" fontId="79" fillId="0" borderId="40" xfId="0" applyFont="true" applyBorder="true" applyAlignment="true" applyProtection="false">
      <alignment horizontal="general" vertical="center" textRotation="0" wrapText="true" indent="0" shrinkToFit="false"/>
      <protection locked="true" hidden="false"/>
    </xf>
    <xf numFmtId="164" fontId="32" fillId="0" borderId="40" xfId="0" applyFont="true" applyBorder="true" applyAlignment="true" applyProtection="false">
      <alignment horizontal="center" vertical="center" textRotation="0" wrapText="true" indent="0" shrinkToFit="false"/>
      <protection locked="true" hidden="false"/>
    </xf>
    <xf numFmtId="164" fontId="32" fillId="0" borderId="40" xfId="0" applyFont="true" applyBorder="true" applyAlignment="true" applyProtection="false">
      <alignment horizontal="general" vertical="center" textRotation="0" wrapText="true" indent="0" shrinkToFit="false"/>
      <protection locked="true" hidden="false"/>
    </xf>
    <xf numFmtId="165" fontId="32" fillId="0" borderId="45"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10" xfId="0" applyFont="true" applyBorder="true" applyAlignment="true" applyProtection="false">
      <alignment horizontal="center" vertical="bottom" textRotation="0" wrapText="false" indent="0" shrinkToFit="false"/>
      <protection locked="true" hidden="false"/>
    </xf>
    <xf numFmtId="164" fontId="77" fillId="10" borderId="99" xfId="0" applyFont="true" applyBorder="true" applyAlignment="true" applyProtection="true">
      <alignment horizontal="left" vertical="center" textRotation="0" wrapText="true" indent="0" shrinkToFit="false"/>
      <protection locked="true" hidden="false"/>
    </xf>
    <xf numFmtId="164" fontId="77" fillId="10" borderId="99" xfId="0" applyFont="true" applyBorder="true" applyAlignment="true" applyProtection="true">
      <alignment horizontal="center" vertical="center" textRotation="0" wrapText="true" indent="0" shrinkToFit="false"/>
      <protection locked="true" hidden="false"/>
    </xf>
    <xf numFmtId="164" fontId="77" fillId="10" borderId="100" xfId="0" applyFont="true" applyBorder="true" applyAlignment="true" applyProtection="true">
      <alignment horizontal="center" vertical="center" textRotation="0" wrapText="true" indent="0" shrinkToFit="false"/>
      <protection locked="true" hidden="false"/>
    </xf>
    <xf numFmtId="164" fontId="77" fillId="10" borderId="101" xfId="0" applyFont="true" applyBorder="true" applyAlignment="true" applyProtection="true">
      <alignment horizontal="center" vertical="center" textRotation="0" wrapText="true" indent="0" shrinkToFit="false"/>
      <protection locked="true" hidden="false"/>
    </xf>
    <xf numFmtId="164" fontId="77" fillId="10" borderId="102" xfId="0" applyFont="true" applyBorder="true" applyAlignment="true" applyProtection="true">
      <alignment horizontal="center" vertical="center" textRotation="0" wrapText="true" indent="0" shrinkToFit="false"/>
      <protection locked="true" hidden="false"/>
    </xf>
    <xf numFmtId="164" fontId="77" fillId="10" borderId="103" xfId="0" applyFont="true" applyBorder="true" applyAlignment="true" applyProtection="true">
      <alignment horizontal="center" vertical="center" textRotation="0" wrapText="true" indent="0" shrinkToFit="false"/>
      <protection locked="true" hidden="false"/>
    </xf>
    <xf numFmtId="164" fontId="77" fillId="10" borderId="104" xfId="0" applyFont="true" applyBorder="true" applyAlignment="true" applyProtection="true">
      <alignment horizontal="center" vertical="center" textRotation="0" wrapText="true" indent="0" shrinkToFit="false"/>
      <protection locked="true" hidden="false"/>
    </xf>
    <xf numFmtId="164" fontId="77" fillId="10" borderId="105" xfId="0" applyFont="true" applyBorder="true" applyAlignment="true" applyProtection="true">
      <alignment horizontal="center" vertical="center" textRotation="0" wrapText="true" indent="0" shrinkToFit="false"/>
      <protection locked="true" hidden="false"/>
    </xf>
    <xf numFmtId="164" fontId="77" fillId="10" borderId="17" xfId="0" applyFont="true" applyBorder="true" applyAlignment="true" applyProtection="true">
      <alignment horizontal="center" vertical="center" textRotation="0" wrapText="true" indent="0" shrinkToFit="false"/>
      <protection locked="true" hidden="false"/>
    </xf>
    <xf numFmtId="166" fontId="79" fillId="10" borderId="106" xfId="0" applyFont="true" applyBorder="true" applyAlignment="true" applyProtection="true">
      <alignment horizontal="center" vertical="center" textRotation="0" wrapText="true" indent="0" shrinkToFit="false"/>
      <protection locked="true" hidden="false"/>
    </xf>
    <xf numFmtId="166" fontId="79" fillId="10" borderId="20" xfId="0" applyFont="true" applyBorder="true" applyAlignment="true" applyProtection="true">
      <alignment horizontal="center" vertical="center" textRotation="0" wrapText="true" indent="0" shrinkToFit="false"/>
      <protection locked="true" hidden="false"/>
    </xf>
    <xf numFmtId="166" fontId="79" fillId="10" borderId="22" xfId="0" applyFont="true" applyBorder="true" applyAlignment="true" applyProtection="true">
      <alignment horizontal="center" vertical="center" textRotation="0" wrapText="true" indent="0" shrinkToFit="false"/>
      <protection locked="true" hidden="false"/>
    </xf>
    <xf numFmtId="176" fontId="79" fillId="0" borderId="9" xfId="0" applyFont="true" applyBorder="true" applyAlignment="true" applyProtection="true">
      <alignment horizontal="center" vertical="center" textRotation="0" wrapText="true" indent="0" shrinkToFit="false"/>
      <protection locked="true" hidden="false"/>
    </xf>
    <xf numFmtId="166" fontId="79" fillId="0" borderId="99" xfId="0" applyFont="true" applyBorder="true" applyAlignment="true" applyProtection="true">
      <alignment horizontal="center" vertical="center" textRotation="0" wrapText="true" indent="0" shrinkToFit="false"/>
      <protection locked="true" hidden="false"/>
    </xf>
    <xf numFmtId="166" fontId="79" fillId="0" borderId="100" xfId="0" applyFont="true" applyBorder="true" applyAlignment="true" applyProtection="true">
      <alignment horizontal="center" vertical="center" textRotation="0" wrapText="true" indent="0" shrinkToFit="false"/>
      <protection locked="true" hidden="false"/>
    </xf>
    <xf numFmtId="167" fontId="32" fillId="0" borderId="0" xfId="19" applyFont="true" applyBorder="true" applyAlignment="true" applyProtection="true">
      <alignment horizontal="general" vertical="bottom" textRotation="0" wrapText="false" indent="0" shrinkToFit="false"/>
      <protection locked="true" hidden="false"/>
    </xf>
    <xf numFmtId="165" fontId="32" fillId="0" borderId="18" xfId="0" applyFont="true" applyBorder="true" applyAlignment="false" applyProtection="false">
      <alignment horizontal="general" vertical="bottom" textRotation="0" wrapText="false" indent="0" shrinkToFit="false"/>
      <protection locked="true" hidden="false"/>
    </xf>
    <xf numFmtId="165" fontId="32" fillId="0" borderId="0" xfId="0" applyFont="true" applyBorder="true" applyAlignment="false" applyProtection="false">
      <alignment horizontal="general" vertical="bottom" textRotation="0" wrapText="false" indent="0" shrinkToFit="false"/>
      <protection locked="true" hidden="false"/>
    </xf>
    <xf numFmtId="169" fontId="32" fillId="0" borderId="0" xfId="0" applyFont="true" applyBorder="true" applyAlignment="false" applyProtection="false">
      <alignment horizontal="general" vertical="bottom" textRotation="0" wrapText="false" indent="0" shrinkToFit="false"/>
      <protection locked="true" hidden="false"/>
    </xf>
    <xf numFmtId="169" fontId="32" fillId="0" borderId="19" xfId="0" applyFont="true" applyBorder="true" applyAlignment="false" applyProtection="false">
      <alignment horizontal="general" vertical="bottom" textRotation="0" wrapText="false" indent="0" shrinkToFit="false"/>
      <protection locked="true" hidden="false"/>
    </xf>
    <xf numFmtId="164" fontId="77" fillId="10" borderId="100" xfId="0" applyFont="true" applyBorder="true" applyAlignment="true" applyProtection="true">
      <alignment horizontal="left" vertical="center" textRotation="0" wrapText="true" indent="0" shrinkToFit="false"/>
      <protection locked="true" hidden="false"/>
    </xf>
    <xf numFmtId="166" fontId="79" fillId="10" borderId="32" xfId="0" applyFont="true" applyBorder="true" applyAlignment="true" applyProtection="true">
      <alignment horizontal="center" vertical="center" textRotation="0" wrapText="true" indent="0" shrinkToFit="false"/>
      <protection locked="true" hidden="false"/>
    </xf>
    <xf numFmtId="166" fontId="79" fillId="10" borderId="62" xfId="0" applyFont="true" applyBorder="true" applyAlignment="true" applyProtection="true">
      <alignment horizontal="center" vertical="center" textRotation="0" wrapText="true" indent="0" shrinkToFit="false"/>
      <protection locked="true" hidden="false"/>
    </xf>
    <xf numFmtId="164" fontId="83" fillId="12" borderId="39" xfId="0" applyFont="true" applyBorder="true" applyAlignment="true" applyProtection="false">
      <alignment horizontal="center" vertical="bottom" textRotation="0" wrapText="false" indent="0" shrinkToFit="false"/>
      <protection locked="true" hidden="false"/>
    </xf>
    <xf numFmtId="165" fontId="32" fillId="12" borderId="107" xfId="0" applyFont="true" applyBorder="true" applyAlignment="false" applyProtection="false">
      <alignment horizontal="general" vertical="bottom" textRotation="0" wrapText="false" indent="0" shrinkToFit="false"/>
      <protection locked="true" hidden="false"/>
    </xf>
    <xf numFmtId="164" fontId="32" fillId="12" borderId="4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true">
      <alignment horizontal="left" vertical="center" textRotation="0" wrapText="true" indent="0" shrinkToFit="false"/>
      <protection locked="true" hidden="false"/>
    </xf>
    <xf numFmtId="166" fontId="79" fillId="0" borderId="0" xfId="0" applyFont="true" applyBorder="true" applyAlignment="true" applyProtection="true">
      <alignment horizontal="center" vertical="center" textRotation="0" wrapText="true" indent="0" shrinkToFit="false"/>
      <protection locked="true" hidden="false"/>
    </xf>
    <xf numFmtId="176" fontId="79" fillId="0" borderId="0" xfId="0" applyFont="true" applyBorder="true" applyAlignment="true" applyProtection="true">
      <alignment horizontal="center" vertical="center" textRotation="0" wrapText="true" indent="0" shrinkToFit="false"/>
      <protection locked="true" hidden="false"/>
    </xf>
    <xf numFmtId="165" fontId="79" fillId="0" borderId="107" xfId="0" applyFont="true" applyBorder="true" applyAlignment="false" applyProtection="false">
      <alignment horizontal="general" vertical="bottom" textRotation="0" wrapText="false" indent="0" shrinkToFit="false"/>
      <protection locked="true" hidden="false"/>
    </xf>
    <xf numFmtId="164" fontId="77" fillId="10" borderId="108" xfId="0" applyFont="true" applyBorder="true" applyAlignment="true" applyProtection="true">
      <alignment horizontal="left" vertical="center" textRotation="0" wrapText="true" indent="0" shrinkToFit="false"/>
      <protection locked="true" hidden="false"/>
    </xf>
    <xf numFmtId="166" fontId="79" fillId="10" borderId="108" xfId="0" applyFont="true" applyBorder="true" applyAlignment="true" applyProtection="true">
      <alignment horizontal="center" vertical="center" textRotation="0" wrapText="true" indent="0" shrinkToFit="false"/>
      <protection locked="true" hidden="false"/>
    </xf>
    <xf numFmtId="167" fontId="79" fillId="10" borderId="109" xfId="19" applyFont="true" applyBorder="true" applyAlignment="true" applyProtection="true">
      <alignment horizontal="center" vertical="center" textRotation="0" wrapText="true" indent="0" shrinkToFit="false"/>
      <protection locked="true" hidden="false"/>
    </xf>
    <xf numFmtId="166" fontId="79" fillId="10" borderId="61" xfId="0" applyFont="true" applyBorder="true" applyAlignment="true" applyProtection="true">
      <alignment horizontal="center" vertical="center" textRotation="0" wrapText="true" indent="0" shrinkToFit="false"/>
      <protection locked="true" hidden="false"/>
    </xf>
    <xf numFmtId="166" fontId="79" fillId="0" borderId="108" xfId="0" applyFont="true" applyBorder="true" applyAlignment="true" applyProtection="true">
      <alignment horizontal="center" vertical="center"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4" fontId="77" fillId="10" borderId="0" xfId="0" applyFont="true" applyBorder="true" applyAlignment="true" applyProtection="true">
      <alignment horizontal="left" vertical="center" textRotation="0" wrapText="true" indent="0" shrinkToFit="false"/>
      <protection locked="true" hidden="false"/>
    </xf>
    <xf numFmtId="166" fontId="79" fillId="10" borderId="0" xfId="0" applyFont="true" applyBorder="true" applyAlignment="true" applyProtection="true">
      <alignment horizontal="center" vertical="center" textRotation="0" wrapText="true" indent="0" shrinkToFit="false"/>
      <protection locked="true" hidden="false"/>
    </xf>
    <xf numFmtId="167" fontId="79" fillId="10" borderId="0" xfId="19" applyFont="true" applyBorder="true" applyAlignment="true" applyProtection="true">
      <alignment horizontal="center" vertical="center" textRotation="0" wrapText="true" indent="0" shrinkToFit="false"/>
      <protection locked="true" hidden="false"/>
    </xf>
    <xf numFmtId="165" fontId="32" fillId="17" borderId="0" xfId="0" applyFont="true" applyBorder="false" applyAlignment="false" applyProtection="false">
      <alignment horizontal="general" vertical="bottom" textRotation="0" wrapText="false" indent="0" shrinkToFit="false"/>
      <protection locked="true" hidden="false"/>
    </xf>
    <xf numFmtId="164" fontId="78" fillId="14" borderId="0" xfId="0" applyFont="true" applyBorder="false" applyAlignment="true" applyProtection="false">
      <alignment horizontal="general" vertical="bottom" textRotation="0" wrapText="false" indent="0" shrinkToFit="false"/>
      <protection locked="true" hidden="false"/>
    </xf>
    <xf numFmtId="164"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0" applyFont="true" applyBorder="false" applyAlignment="true" applyProtection="false">
      <alignment horizontal="center" vertical="bottom" textRotation="0" wrapText="false" indent="0" shrinkToFit="false"/>
      <protection locked="true" hidden="false"/>
    </xf>
    <xf numFmtId="177"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20" applyFont="true" applyBorder="true" applyAlignment="true" applyProtection="true">
      <alignment horizontal="general" vertical="bottom" textRotation="0" wrapText="false" indent="0" shrinkToFit="false"/>
      <protection locked="true" hidden="false"/>
    </xf>
    <xf numFmtId="164" fontId="20" fillId="14" borderId="0" xfId="20" applyFont="false" applyBorder="true" applyAlignment="true" applyProtection="tru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6" fontId="84" fillId="0" borderId="0" xfId="0" applyFont="tru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78" fontId="4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32" fillId="11"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76" fontId="42"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75" fontId="32" fillId="0" borderId="0" xfId="0" applyFont="true" applyBorder="false" applyAlignment="false" applyProtection="false">
      <alignment horizontal="general" vertical="bottom" textRotation="0" wrapText="false" indent="0" shrinkToFit="false"/>
      <protection locked="true" hidden="false"/>
    </xf>
    <xf numFmtId="166" fontId="79" fillId="0" borderId="0" xfId="0" applyFont="true" applyBorder="false" applyAlignment="false" applyProtection="false">
      <alignment horizontal="general" vertical="bottom" textRotation="0" wrapText="false" indent="0" shrinkToFit="false"/>
      <protection locked="true" hidden="false"/>
    </xf>
    <xf numFmtId="175" fontId="79" fillId="0" borderId="0" xfId="0" applyFont="true" applyBorder="false" applyAlignment="false" applyProtection="false">
      <alignment horizontal="general" vertical="bottom" textRotation="0" wrapText="false" indent="0" shrinkToFit="false"/>
      <protection locked="true" hidden="false"/>
    </xf>
    <xf numFmtId="166" fontId="32" fillId="17" borderId="0" xfId="0" applyFont="true" applyBorder="false" applyAlignment="false" applyProtection="false">
      <alignment horizontal="general" vertical="bottom" textRotation="0" wrapText="false" indent="0" shrinkToFit="false"/>
      <protection locked="true" hidden="false"/>
    </xf>
    <xf numFmtId="175" fontId="32" fillId="17" borderId="0" xfId="0" applyFont="true" applyBorder="false" applyAlignment="false" applyProtection="fals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9"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0"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79" fontId="0" fillId="13" borderId="0" xfId="15" applyFont="false" applyBorder="true" applyAlignment="true" applyProtection="tru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center" textRotation="0" wrapText="false" indent="0" shrinkToFit="false"/>
      <protection locked="true" hidden="false"/>
    </xf>
    <xf numFmtId="166" fontId="85" fillId="0" borderId="0" xfId="0" applyFont="true" applyBorder="false" applyAlignment="false" applyProtection="false">
      <alignment horizontal="general"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10" xfId="0" applyFont="true" applyBorder="true" applyAlignment="true" applyProtection="true">
      <alignment horizontal="general" vertical="bottom"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5" fontId="0" fillId="8" borderId="0" xfId="0" applyFont="true" applyBorder="false" applyAlignment="true" applyProtection="true">
      <alignment horizontal="general" vertical="bottom" textRotation="0" wrapText="true" indent="0" shrinkToFit="false"/>
      <protection locked="true" hidden="false"/>
    </xf>
    <xf numFmtId="165" fontId="0" fillId="7" borderId="0" xfId="0" applyFont="true" applyBorder="false" applyAlignment="true" applyProtection="true">
      <alignment horizontal="general" vertical="bottom" textRotation="0" wrapText="true" indent="0" shrinkToFit="false"/>
      <protection locked="true" hidden="false"/>
    </xf>
    <xf numFmtId="164" fontId="0" fillId="18" borderId="110" xfId="0" applyFont="true" applyBorder="true" applyAlignment="true" applyProtection="true">
      <alignment horizontal="general" vertical="bottom" textRotation="0" wrapText="true" indent="0" shrinkToFit="false"/>
      <protection locked="true" hidden="false"/>
    </xf>
    <xf numFmtId="164" fontId="0" fillId="18" borderId="99" xfId="0" applyFont="true" applyBorder="true" applyAlignment="true" applyProtection="true">
      <alignment horizontal="general" vertical="bottom" textRotation="0" wrapText="true" indent="0" shrinkToFit="false"/>
      <protection locked="true" hidden="false"/>
    </xf>
    <xf numFmtId="164" fontId="0" fillId="13" borderId="110"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bottom" textRotation="0" wrapText="true" indent="0" shrinkToFit="false"/>
      <protection locked="true" hidden="false"/>
    </xf>
    <xf numFmtId="164" fontId="14" fillId="0" borderId="110" xfId="0" applyFont="true" applyBorder="true" applyAlignment="true" applyProtection="true">
      <alignment horizontal="general" vertical="bottom" textRotation="0" wrapText="true" indent="0" shrinkToFit="false"/>
      <protection locked="true" hidden="false"/>
    </xf>
    <xf numFmtId="164" fontId="23" fillId="0" borderId="110" xfId="0" applyFont="true" applyBorder="true" applyAlignment="true" applyProtection="true">
      <alignment horizontal="general" vertical="bottom" textRotation="0" wrapText="true" indent="0" shrinkToFit="false"/>
      <protection locked="true" hidden="false"/>
    </xf>
    <xf numFmtId="164" fontId="23" fillId="0" borderId="99" xfId="0" applyFont="true" applyBorder="true" applyAlignment="true" applyProtection="true">
      <alignment horizontal="general" vertical="bottom" textRotation="0" wrapText="true" indent="0" shrinkToFit="false"/>
      <protection locked="true" hidden="false"/>
    </xf>
    <xf numFmtId="164" fontId="14" fillId="0" borderId="99"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top" textRotation="0" wrapText="true" indent="0" shrinkToFit="false"/>
      <protection locked="true" hidden="false"/>
    </xf>
    <xf numFmtId="164" fontId="70" fillId="0" borderId="0" xfId="0" applyFont="true" applyBorder="false" applyAlignment="true" applyProtection="true">
      <alignment horizontal="general" vertical="bottom" textRotation="0" wrapText="true" indent="0" shrinkToFit="false"/>
      <protection locked="true" hidden="false"/>
    </xf>
    <xf numFmtId="164" fontId="0" fillId="9" borderId="0" xfId="0" applyFont="true" applyBorder="false" applyAlignment="true" applyProtection="true">
      <alignment horizontal="general" vertical="top" textRotation="0" wrapText="true" indent="0" shrinkToFit="false"/>
      <protection locked="true" hidden="false"/>
    </xf>
    <xf numFmtId="164" fontId="19" fillId="0" borderId="110" xfId="0" applyFont="true" applyBorder="true" applyAlignment="true" applyProtection="true">
      <alignment horizontal="general" vertical="bottom" textRotation="0" wrapText="true" indent="0" shrinkToFit="false"/>
      <protection locked="true" hidden="false"/>
    </xf>
    <xf numFmtId="164" fontId="19" fillId="13" borderId="110" xfId="0" applyFont="true" applyBorder="true" applyAlignment="true" applyProtection="true">
      <alignment horizontal="general" vertical="bottom" textRotation="0" wrapText="true" indent="0" shrinkToFit="false"/>
      <protection locked="true" hidden="false"/>
    </xf>
    <xf numFmtId="164" fontId="11" fillId="0" borderId="110" xfId="0" applyFont="true" applyBorder="true" applyAlignment="true" applyProtection="true">
      <alignment horizontal="general" vertical="bottom" textRotation="0" wrapText="true" indent="0" shrinkToFit="false"/>
      <protection locked="true" hidden="false"/>
    </xf>
    <xf numFmtId="164" fontId="17" fillId="0" borderId="110" xfId="0" applyFont="true" applyBorder="true" applyAlignment="true" applyProtection="true">
      <alignment horizontal="general" vertical="bottom" textRotation="0" wrapText="true" indent="0" shrinkToFit="false"/>
      <protection locked="true" hidden="false"/>
    </xf>
    <xf numFmtId="164" fontId="7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5" fontId="0" fillId="12" borderId="0" xfId="0" applyFont="true" applyBorder="false" applyAlignment="true" applyProtection="true">
      <alignment horizontal="general" vertical="bottom" textRotation="0" wrapText="true" indent="0" shrinkToFit="false"/>
      <protection locked="true" hidden="false"/>
    </xf>
    <xf numFmtId="164" fontId="25" fillId="10" borderId="3" xfId="0" applyFont="true" applyBorder="true" applyAlignment="true" applyProtection="true">
      <alignment horizontal="left" vertical="center" textRotation="0" wrapText="false" indent="1" shrinkToFit="false"/>
      <protection locked="true" hidden="false"/>
    </xf>
    <xf numFmtId="164" fontId="68" fillId="19" borderId="110" xfId="0" applyFont="true" applyBorder="true" applyAlignment="true" applyProtection="true">
      <alignment horizontal="general" vertical="bottom" textRotation="0" wrapText="true" indent="0" shrinkToFit="false"/>
      <protection locked="true" hidden="false"/>
    </xf>
    <xf numFmtId="164" fontId="0" fillId="12" borderId="110" xfId="0" applyFont="true" applyBorder="true" applyAlignment="true" applyProtection="true">
      <alignment horizontal="general" vertical="bottom" textRotation="0" wrapText="true" indent="0" shrinkToFit="false"/>
      <protection locked="true" hidden="false"/>
    </xf>
    <xf numFmtId="164" fontId="70" fillId="20" borderId="0" xfId="0" applyFont="true" applyBorder="false" applyAlignment="true" applyProtection="true">
      <alignment horizontal="general" vertical="bottom" textRotation="0" wrapText="true" indent="0" shrinkToFit="false"/>
      <protection locked="true" hidden="false"/>
    </xf>
    <xf numFmtId="164" fontId="17" fillId="10" borderId="3" xfId="0" applyFont="true" applyBorder="true" applyAlignment="true" applyProtection="true">
      <alignment horizontal="left" vertical="center" textRotation="0" wrapText="false" indent="1" shrinkToFit="false"/>
      <protection locked="true" hidden="false"/>
    </xf>
    <xf numFmtId="164" fontId="17" fillId="10" borderId="3" xfId="0" applyFont="true" applyBorder="true" applyAlignment="true" applyProtection="true">
      <alignment horizontal="left" vertical="center" textRotation="0" wrapText="true" indent="0" shrinkToFit="false"/>
      <protection locked="true" hidden="false"/>
    </xf>
    <xf numFmtId="164" fontId="0" fillId="21" borderId="110" xfId="0" applyFont="true" applyBorder="true" applyAlignment="true" applyProtection="true">
      <alignment horizontal="general" vertical="bottom" textRotation="0" wrapText="true" indent="0" shrinkToFit="false"/>
      <protection locked="true" hidden="false"/>
    </xf>
    <xf numFmtId="164" fontId="70" fillId="22" borderId="111"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true" indent="1" shrinkToFit="false"/>
      <protection locked="true" hidden="false"/>
    </xf>
    <xf numFmtId="164" fontId="0" fillId="9" borderId="112" xfId="0" applyFont="true" applyBorder="true" applyAlignment="true" applyProtection="true">
      <alignment horizontal="general" vertical="bottom" textRotation="0" wrapText="true" indent="0" shrinkToFit="false"/>
      <protection locked="true" hidden="false"/>
    </xf>
    <xf numFmtId="164" fontId="88" fillId="9" borderId="112" xfId="0" applyFont="true" applyBorder="true" applyAlignment="true" applyProtection="true">
      <alignment horizontal="general" vertical="bottom" textRotation="0" wrapText="true" indent="0" shrinkToFit="false"/>
      <protection locked="true" hidden="false"/>
    </xf>
    <xf numFmtId="164" fontId="0" fillId="19" borderId="110" xfId="0" applyFont="true" applyBorder="true" applyAlignment="true" applyProtection="true">
      <alignment horizontal="general" vertical="bottom" textRotation="0" wrapText="true" indent="0" shrinkToFit="false"/>
      <protection locked="true" hidden="false"/>
    </xf>
    <xf numFmtId="164" fontId="70" fillId="22" borderId="110"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false" indent="1" shrinkToFit="false"/>
      <protection locked="true" hidden="false"/>
    </xf>
    <xf numFmtId="164" fontId="0" fillId="9" borderId="110" xfId="0" applyFont="true" applyBorder="true" applyAlignment="true" applyProtection="true">
      <alignment horizontal="general" vertical="bottom" textRotation="0" wrapText="true" indent="0" shrinkToFit="false"/>
      <protection locked="true" hidden="false"/>
    </xf>
    <xf numFmtId="164" fontId="19" fillId="9" borderId="4" xfId="0" applyFont="true" applyBorder="true" applyAlignment="true" applyProtection="true">
      <alignment horizontal="left" vertical="center" textRotation="0" wrapText="true" indent="1" shrinkToFit="false"/>
      <protection locked="true" hidden="false"/>
    </xf>
    <xf numFmtId="164" fontId="70" fillId="20" borderId="110" xfId="0" applyFont="true" applyBorder="true" applyAlignment="true" applyProtection="true">
      <alignment horizontal="general" vertical="bottom" textRotation="0" wrapText="true" indent="0" shrinkToFit="false"/>
      <protection locked="true" hidden="false"/>
    </xf>
    <xf numFmtId="164" fontId="19" fillId="9" borderId="12" xfId="0" applyFont="true" applyBorder="true" applyAlignment="true" applyProtection="true">
      <alignment horizontal="left" vertical="center" textRotation="0" wrapText="true" indent="1" shrinkToFit="false"/>
      <protection locked="true" hidden="false"/>
    </xf>
    <xf numFmtId="164" fontId="19" fillId="9" borderId="12"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true" indent="1" shrinkToFit="false"/>
      <protection locked="true" hidden="false"/>
    </xf>
    <xf numFmtId="164" fontId="19" fillId="9" borderId="0" xfId="0" applyFont="true" applyBorder="false" applyAlignment="true" applyProtection="true">
      <alignment horizontal="left" vertical="center" textRotation="0" wrapText="true" indent="1" shrinkToFit="false"/>
      <protection locked="true" hidden="false"/>
    </xf>
    <xf numFmtId="164" fontId="0" fillId="0" borderId="113" xfId="0" applyFont="true" applyBorder="true" applyAlignment="false" applyProtection="true">
      <alignment horizontal="general" vertical="bottom" textRotation="0" wrapText="false" indent="0" shrinkToFit="false"/>
      <protection locked="true" hidden="false"/>
    </xf>
    <xf numFmtId="164" fontId="88" fillId="9" borderId="110" xfId="0" applyFont="true" applyBorder="true" applyAlignment="true" applyProtection="true">
      <alignment horizontal="general" vertical="bottom" textRotation="0" wrapText="true" indent="0" shrinkToFit="false"/>
      <protection locked="true" hidden="false"/>
    </xf>
    <xf numFmtId="165" fontId="70" fillId="7" borderId="0" xfId="0" applyFont="true" applyBorder="false" applyAlignment="true" applyProtection="true">
      <alignment horizontal="general" vertical="bottom" textRotation="0" wrapText="true" indent="0" shrinkToFit="false"/>
      <protection locked="true" hidden="false"/>
    </xf>
    <xf numFmtId="164" fontId="89" fillId="0" borderId="110" xfId="0" applyFont="true" applyBorder="true" applyAlignment="true" applyProtection="true">
      <alignment horizontal="general" vertical="bottom" textRotation="0" wrapText="true" indent="0" shrinkToFit="false"/>
      <protection locked="true" hidden="false"/>
    </xf>
    <xf numFmtId="164" fontId="89" fillId="0" borderId="99" xfId="0" applyFont="true" applyBorder="true" applyAlignment="true" applyProtection="true">
      <alignment horizontal="general" vertical="bottom" textRotation="0" wrapText="true" indent="0" shrinkToFit="false"/>
      <protection locked="true" hidden="false"/>
    </xf>
    <xf numFmtId="164" fontId="90" fillId="0" borderId="110" xfId="0" applyFont="true" applyBorder="true" applyAlignment="true" applyProtection="true">
      <alignment horizontal="general" vertical="bottom" textRotation="0" wrapText="true" indent="0" shrinkToFit="false"/>
      <protection locked="true" hidden="false"/>
    </xf>
    <xf numFmtId="164" fontId="35" fillId="0" borderId="99" xfId="0" applyFont="true" applyBorder="true" applyAlignment="true" applyProtection="true">
      <alignment horizontal="general" vertical="bottom" textRotation="0" wrapText="true" indent="0" shrinkToFit="false"/>
      <protection locked="true" hidden="false"/>
    </xf>
    <xf numFmtId="165" fontId="75" fillId="9" borderId="74" xfId="0" applyFont="true" applyBorder="true" applyAlignment="true" applyProtection="true">
      <alignment horizontal="left" vertical="center" textRotation="0" wrapText="false" indent="0" shrinkToFit="false"/>
      <protection locked="true" hidden="false"/>
    </xf>
    <xf numFmtId="164" fontId="14" fillId="9" borderId="74" xfId="0" applyFont="true" applyBorder="true" applyAlignment="true" applyProtection="true">
      <alignment horizontal="general" vertical="center" textRotation="0" wrapText="true" indent="0" shrinkToFit="false"/>
      <protection locked="true" hidden="false"/>
    </xf>
    <xf numFmtId="164" fontId="75"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true" indent="0" shrinkToFit="false"/>
      <protection locked="true" hidden="false"/>
    </xf>
    <xf numFmtId="164" fontId="75" fillId="9" borderId="75" xfId="0" applyFont="true" applyBorder="true" applyAlignment="true" applyProtection="true">
      <alignment horizontal="right" vertical="center" textRotation="0" wrapText="false" indent="0" shrinkToFit="false"/>
      <protection locked="true" hidden="false"/>
    </xf>
    <xf numFmtId="164" fontId="14" fillId="9" borderId="75"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false" indent="0" shrinkToFit="false"/>
      <protection locked="true" hidden="false"/>
    </xf>
    <xf numFmtId="164" fontId="14" fillId="9" borderId="76" xfId="0" applyFont="true" applyBorder="true" applyAlignment="true" applyProtection="true">
      <alignment horizontal="general" vertical="center" textRotation="0" wrapText="true" indent="0" shrinkToFit="false"/>
      <protection locked="true" hidden="false"/>
    </xf>
    <xf numFmtId="164" fontId="32" fillId="9" borderId="76"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true" indent="0" shrinkToFit="false"/>
      <protection locked="true" hidden="false"/>
    </xf>
    <xf numFmtId="164" fontId="14" fillId="13" borderId="76" xfId="0" applyFont="true" applyBorder="true" applyAlignment="true" applyProtection="true">
      <alignment horizontal="general" vertical="center" textRotation="0" wrapText="true" indent="0" shrinkToFit="false"/>
      <protection locked="true" hidden="false"/>
    </xf>
    <xf numFmtId="164" fontId="91" fillId="9" borderId="76" xfId="0" applyFont="true" applyBorder="true" applyAlignment="true" applyProtection="true">
      <alignment horizontal="general" vertical="center" textRotation="0" wrapText="true" indent="0" shrinkToFit="false"/>
      <protection locked="true" hidden="false"/>
    </xf>
    <xf numFmtId="164" fontId="92" fillId="9" borderId="76" xfId="0" applyFont="true" applyBorder="true" applyAlignment="true" applyProtection="true">
      <alignment horizontal="general" vertical="center" textRotation="0" wrapText="true" indent="0" shrinkToFit="false"/>
      <protection locked="true" hidden="false"/>
    </xf>
    <xf numFmtId="164" fontId="75" fillId="9" borderId="77" xfId="0" applyFont="true" applyBorder="true" applyAlignment="true" applyProtection="true">
      <alignment horizontal="right" vertical="center" textRotation="0" wrapText="true" indent="0" shrinkToFit="false"/>
      <protection locked="true" hidden="false"/>
    </xf>
    <xf numFmtId="164" fontId="14" fillId="9" borderId="77"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93" fillId="0" borderId="0" xfId="0" applyFont="true" applyBorder="false" applyAlignment="true" applyProtection="true">
      <alignment horizontal="left" vertical="center" textRotation="0" wrapText="false" indent="1" shrinkToFit="false"/>
      <protection locked="true" hidden="false"/>
    </xf>
    <xf numFmtId="164" fontId="32" fillId="13" borderId="0" xfId="0" applyFont="true" applyBorder="false" applyAlignment="true" applyProtection="true">
      <alignment horizontal="left" vertical="bottom" textRotation="0" wrapText="false" indent="0" shrinkToFit="false"/>
      <protection locked="true" hidden="false"/>
    </xf>
    <xf numFmtId="180" fontId="94" fillId="0" borderId="0" xfId="0" applyFont="true" applyBorder="false" applyAlignment="true" applyProtection="true">
      <alignment horizontal="general" vertical="top"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42"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1" xfId="21"/>
    <cellStyle name="Accent 2 1" xfId="22"/>
    <cellStyle name="Accent 3 1" xfId="23"/>
    <cellStyle name="Accent 4" xfId="24"/>
    <cellStyle name="Bad 1" xfId="25"/>
    <cellStyle name="Error 1" xfId="26"/>
    <cellStyle name="Footnote 1" xfId="27"/>
    <cellStyle name="Good 1" xfId="28"/>
    <cellStyle name="Heading 1 1" xfId="29"/>
    <cellStyle name="Heading 2 1" xfId="30"/>
    <cellStyle name="Heading 3" xfId="31"/>
    <cellStyle name="Normal_4. Bilanz Testat" xfId="32"/>
    <cellStyle name="Note 1" xfId="33"/>
    <cellStyle name="Standard 2" xfId="34"/>
    <cellStyle name="Status 1" xfId="35"/>
    <cellStyle name="Text 1" xfId="36"/>
    <cellStyle name="Warning 1" xfId="37"/>
    <cellStyle name="*unknown*" xfId="20" builtinId="8"/>
  </cellStyles>
  <dxfs count="26">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color rgb="FFFFFFFF"/>
      </font>
      <fill>
        <patternFill>
          <bgColor rgb="00FFFFFF"/>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FFFFFF"/>
      </font>
      <fill>
        <patternFill>
          <bgColor rgb="00FFFFFF"/>
        </patternFill>
      </fill>
    </dxf>
    <dxf>
      <font>
        <color rgb="FF99CC00"/>
      </font>
      <fill>
        <patternFill>
          <bgColor rgb="FF99CC00"/>
        </patternFill>
      </fill>
    </dxf>
    <dxf>
      <font>
        <color rgb="FFFFFFFF"/>
      </font>
      <fill>
        <patternFill>
          <bgColor rgb="00FFFFFF"/>
        </patternFill>
      </fill>
    </dxf>
    <dxf>
      <font>
        <color rgb="FF99CC00"/>
      </font>
      <fill>
        <patternFill>
          <bgColor rgb="FF99CC00"/>
        </patternFill>
      </fill>
    </dxf>
    <dxf>
      <font>
        <color rgb="FFFFFFFF"/>
      </font>
      <fill>
        <patternFill>
          <bgColor rgb="00FFFFFF"/>
        </patternFill>
      </fill>
    </dxf>
    <dxf>
      <font>
        <color rgb="FF99CC00"/>
      </font>
      <fill>
        <patternFill>
          <bgColor rgb="FF99CC00"/>
        </patternFill>
      </fill>
    </dxf>
  </dxfs>
  <colors>
    <indexedColors>
      <rgbColor rgb="FF000000"/>
      <rgbColor rgb="FFFFFFFF"/>
      <rgbColor rgb="FFFF0000"/>
      <rgbColor rgb="FF4EE257"/>
      <rgbColor rgb="FF0000D4"/>
      <rgbColor rgb="FFFFFF00"/>
      <rgbColor rgb="FFF20884"/>
      <rgbColor rgb="FF00FFFF"/>
      <rgbColor rgb="FFCC0000"/>
      <rgbColor rgb="FF008000"/>
      <rgbColor rgb="FF000080"/>
      <rgbColor rgb="FF979700"/>
      <rgbColor rgb="FF800080"/>
      <rgbColor rgb="FF008080"/>
      <rgbColor rgb="FFC0C0C0"/>
      <rgbColor rgb="FF808080"/>
      <rgbColor rgb="FFA6A6A6"/>
      <rgbColor rgb="FF90713A"/>
      <rgbColor rgb="FFFFFFCC"/>
      <rgbColor rgb="FFE6E6E6"/>
      <rgbColor rgb="FF660066"/>
      <rgbColor rgb="FFEB613D"/>
      <rgbColor rgb="FF0066CC"/>
      <rgbColor rgb="FFDDDDDD"/>
      <rgbColor rgb="FF000080"/>
      <rgbColor rgb="FFFF00FF"/>
      <rgbColor rgb="FFFCF305"/>
      <rgbColor rgb="FF00FFFF"/>
      <rgbColor rgb="FF800080"/>
      <rgbColor rgb="FF800000"/>
      <rgbColor rgb="FF008080"/>
      <rgbColor rgb="FF0000FF"/>
      <rgbColor rgb="FF00CCFF"/>
      <rgbColor rgb="FFCCFFFF"/>
      <rgbColor rgb="FFCCFFCC"/>
      <rgbColor rgb="FFFFCCCC"/>
      <rgbColor rgb="FFA2BD90"/>
      <rgbColor rgb="FFFF99CC"/>
      <rgbColor rgb="FFCC99FF"/>
      <rgbColor rgb="FFFFCC99"/>
      <rgbColor rgb="FF3366FF"/>
      <rgbColor rgb="FF33CC66"/>
      <rgbColor rgb="FF99CC00"/>
      <rgbColor rgb="FFCCCC00"/>
      <rgbColor rgb="FFFF9900"/>
      <rgbColor rgb="FFFF6600"/>
      <rgbColor rgb="FF666699"/>
      <rgbColor rgb="FF969696"/>
      <rgbColor rgb="FF003366"/>
      <rgbColor rgb="FF669999"/>
      <rgbColor rgb="FF006600"/>
      <rgbColor rgb="FF333300"/>
      <rgbColor rgb="FFDD0806"/>
      <rgbColor rgb="FF993366"/>
      <rgbColor rgb="FF40404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88513719048488"/>
          <c:y val="0.338608180640385"/>
          <c:w val="0.221329926385593"/>
          <c:h val="0.320932815102721"/>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General</c:formatCode>
                <c:ptCount val="4"/>
                <c:pt idx="0">
                  <c:v>0.144444444444444</c:v>
                </c:pt>
                <c:pt idx="1">
                  <c:v>0.2</c:v>
                </c:pt>
                <c:pt idx="2">
                  <c:v>0.177777777777778</c:v>
                </c:pt>
                <c:pt idx="3">
                  <c:v>0.366666666666667</c:v>
                </c:pt>
              </c:numCache>
            </c:numRef>
          </c:val>
        </c:ser>
        <c:axId val="62401576"/>
        <c:axId val="22387880"/>
      </c:radarChart>
      <c:catAx>
        <c:axId val="62401576"/>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22387880"/>
        <c:crossesAt val="0"/>
        <c:auto val="1"/>
        <c:lblAlgn val="ctr"/>
        <c:lblOffset val="100"/>
        <c:noMultiLvlLbl val="0"/>
      </c:catAx>
      <c:valAx>
        <c:axId val="22387880"/>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62401576"/>
        <c:crosses val="autoZero"/>
        <c:crossBetween val="midCat"/>
        <c:majorUnit val="0.2"/>
      </c:valAx>
      <c:spPr>
        <a:noFill/>
        <a:ln w="25560">
          <a:noFill/>
        </a:ln>
      </c:spPr>
    </c:plotArea>
    <c:plotVisOnly val="1"/>
    <c:dispBlanksAs val="gap"/>
  </c:chart>
  <c:spPr>
    <a:noFill/>
    <a:ln w="6480">
      <a:no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72093023255814"/>
          <c:y val="0.375318798848211"/>
          <c:w val="0.231398248564635"/>
          <c:h val="0.31254627725216"/>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General</c:formatCode>
                <c:ptCount val="5"/>
                <c:pt idx="0">
                  <c:v>0.225</c:v>
                </c:pt>
                <c:pt idx="1">
                  <c:v>0.325</c:v>
                </c:pt>
                <c:pt idx="2">
                  <c:v>0.2</c:v>
                </c:pt>
                <c:pt idx="3">
                  <c:v>0.1</c:v>
                </c:pt>
                <c:pt idx="4">
                  <c:v>0.3</c:v>
                </c:pt>
              </c:numCache>
            </c:numRef>
          </c:val>
        </c:ser>
        <c:axId val="91208369"/>
        <c:axId val="4626488"/>
      </c:radarChart>
      <c:catAx>
        <c:axId val="91208369"/>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4626488"/>
        <c:crossesAt val="0"/>
        <c:auto val="1"/>
        <c:lblAlgn val="ctr"/>
        <c:lblOffset val="100"/>
        <c:noMultiLvlLbl val="0"/>
      </c:catAx>
      <c:valAx>
        <c:axId val="4626488"/>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91208369"/>
        <c:crosses val="autoZero"/>
        <c:crossBetween val="midCat"/>
        <c:majorUnit val="0.2"/>
      </c:valAx>
      <c:spPr>
        <a:noFill/>
        <a:ln w="25560">
          <a:noFill/>
        </a:ln>
      </c:spPr>
    </c:plotArea>
    <c:plotVisOnly val="1"/>
    <c:dispBlanksAs val="gap"/>
  </c:chart>
  <c:spPr>
    <a:noFill/>
    <a:ln w="6480">
      <a:no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90540122502011"/>
          <c:y val="0.237282463186078"/>
          <c:w val="0.403576068799109"/>
          <c:h val="0.521000669344043"/>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General</c:formatCode>
                <c:ptCount val="20"/>
                <c:pt idx="0">
                  <c:v>0.1</c:v>
                </c:pt>
                <c:pt idx="1">
                  <c:v>0.1</c:v>
                </c:pt>
                <c:pt idx="2">
                  <c:v>0.1</c:v>
                </c:pt>
                <c:pt idx="3">
                  <c:v>0.6</c:v>
                </c:pt>
                <c:pt idx="4">
                  <c:v>0.8</c:v>
                </c:pt>
                <c:pt idx="5">
                  <c:v>0.1</c:v>
                </c:pt>
                <c:pt idx="6">
                  <c:v>0.3</c:v>
                </c:pt>
                <c:pt idx="7">
                  <c:v>0.1</c:v>
                </c:pt>
                <c:pt idx="8">
                  <c:v>0.2</c:v>
                </c:pt>
                <c:pt idx="9">
                  <c:v>0.2</c:v>
                </c:pt>
                <c:pt idx="10">
                  <c:v>0.2</c:v>
                </c:pt>
                <c:pt idx="11">
                  <c:v>0.2</c:v>
                </c:pt>
                <c:pt idx="12">
                  <c:v>0</c:v>
                </c:pt>
                <c:pt idx="13">
                  <c:v>0.4</c:v>
                </c:pt>
                <c:pt idx="14">
                  <c:v>0</c:v>
                </c:pt>
                <c:pt idx="15">
                  <c:v>0</c:v>
                </c:pt>
                <c:pt idx="16">
                  <c:v>0</c:v>
                </c:pt>
                <c:pt idx="17">
                  <c:v>0.2</c:v>
                </c:pt>
                <c:pt idx="18">
                  <c:v>0.4</c:v>
                </c:pt>
                <c:pt idx="19">
                  <c:v>0.6</c:v>
                </c:pt>
              </c:numCache>
            </c:numRef>
          </c:val>
        </c:ser>
        <c:axId val="85565866"/>
        <c:axId val="48175204"/>
      </c:radarChart>
      <c:catAx>
        <c:axId val="85565866"/>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48175204"/>
        <c:crossesAt val="0"/>
        <c:auto val="1"/>
        <c:lblAlgn val="ctr"/>
        <c:lblOffset val="100"/>
        <c:noMultiLvlLbl val="0"/>
      </c:catAx>
      <c:valAx>
        <c:axId val="48175204"/>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85565866"/>
        <c:crosses val="autoZero"/>
        <c:crossBetween val="midCat"/>
        <c:majorUnit val="0.2"/>
      </c:valAx>
      <c:spPr>
        <a:noFill/>
        <a:ln w="25560">
          <a:noFill/>
        </a:ln>
      </c:spPr>
    </c:plotArea>
    <c:plotVisOnly val="1"/>
    <c:dispBlanksAs val="gap"/>
  </c:chart>
  <c:spPr>
    <a:noFill/>
    <a:ln w="648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3.png"/>
</Relationships>
</file>

<file path=xl/drawings/_rels/drawing2.xml.rels><?xml version="1.0" encoding="UTF-8"?>
<Relationships xmlns="http://schemas.openxmlformats.org/package/2006/relationships"><Relationship Id="rId1" Type="http://schemas.openxmlformats.org/officeDocument/2006/relationships/image" Target="../media/image14.png"/>
</Relationships>
</file>

<file path=xl/drawings/_rels/drawing3.xml.rels><?xml version="1.0" encoding="UTF-8"?>
<Relationships xmlns="http://schemas.openxmlformats.org/package/2006/relationships"><Relationship Id="rId1" Type="http://schemas.openxmlformats.org/officeDocument/2006/relationships/chart" Target="../charts/chart7.xml"/><Relationship Id="rId2" Type="http://schemas.openxmlformats.org/officeDocument/2006/relationships/image" Target="../media/image15.png"/>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image" Target="../media/image16.png"/>
</Relationships>
</file>

<file path=xl/drawings/_rels/drawing5.xml.rels><?xml version="1.0" encoding="UTF-8"?>
<Relationships xmlns="http://schemas.openxmlformats.org/package/2006/relationships"><Relationship Id="rId1" Type="http://schemas.openxmlformats.org/officeDocument/2006/relationships/image" Target="../media/image17.png"/><Relationship Id="rId2" Type="http://schemas.openxmlformats.org/officeDocument/2006/relationships/chart" Target="../charts/chart9.xml"/>
</Relationships>
</file>

<file path=xl/drawings/_rels/drawing6.xml.rels><?xml version="1.0" encoding="UTF-8"?>
<Relationships xmlns="http://schemas.openxmlformats.org/package/2006/relationships"><Relationship Id="rId1" Type="http://schemas.openxmlformats.org/officeDocument/2006/relationships/image" Target="../media/image1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1409760</xdr:colOff>
      <xdr:row>0</xdr:row>
      <xdr:rowOff>0</xdr:rowOff>
    </xdr:from>
    <xdr:to>
      <xdr:col>3</xdr:col>
      <xdr:colOff>4428720</xdr:colOff>
      <xdr:row>2</xdr:row>
      <xdr:rowOff>28080</xdr:rowOff>
    </xdr:to>
    <xdr:pic>
      <xdr:nvPicPr>
        <xdr:cNvPr id="0" name="Picture 44" descr="ECG_EN-screen.png"/>
        <xdr:cNvPicPr/>
      </xdr:nvPicPr>
      <xdr:blipFill>
        <a:blip r:embed="rId1"/>
        <a:stretch/>
      </xdr:blipFill>
      <xdr:spPr>
        <a:xfrm>
          <a:off x="3636360" y="0"/>
          <a:ext cx="3018960" cy="92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9360</xdr:colOff>
      <xdr:row>1</xdr:row>
      <xdr:rowOff>66600</xdr:rowOff>
    </xdr:from>
    <xdr:to>
      <xdr:col>18</xdr:col>
      <xdr:colOff>9000</xdr:colOff>
      <xdr:row>5</xdr:row>
      <xdr:rowOff>56880</xdr:rowOff>
    </xdr:to>
    <xdr:pic>
      <xdr:nvPicPr>
        <xdr:cNvPr id="1" name="Picture 44" descr="ECG_EN-screen.png"/>
        <xdr:cNvPicPr/>
      </xdr:nvPicPr>
      <xdr:blipFill>
        <a:blip r:embed="rId1"/>
        <a:stretch/>
      </xdr:blipFill>
      <xdr:spPr>
        <a:xfrm>
          <a:off x="8513640" y="228240"/>
          <a:ext cx="1974600" cy="5713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4</xdr:row>
      <xdr:rowOff>76320</xdr:rowOff>
    </xdr:from>
    <xdr:to>
      <xdr:col>5</xdr:col>
      <xdr:colOff>856800</xdr:colOff>
      <xdr:row>15</xdr:row>
      <xdr:rowOff>761760</xdr:rowOff>
    </xdr:to>
    <xdr:graphicFrame>
      <xdr:nvGraphicFramePr>
        <xdr:cNvPr id="2" name="Diagramm 1"/>
        <xdr:cNvGraphicFramePr/>
      </xdr:nvGraphicFramePr>
      <xdr:xfrm>
        <a:off x="9360" y="720000"/>
        <a:ext cx="5916960" cy="3889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0</xdr:colOff>
      <xdr:row>1</xdr:row>
      <xdr:rowOff>38160</xdr:rowOff>
    </xdr:from>
    <xdr:to>
      <xdr:col>1</xdr:col>
      <xdr:colOff>504360</xdr:colOff>
      <xdr:row>3</xdr:row>
      <xdr:rowOff>142560</xdr:rowOff>
    </xdr:to>
    <xdr:pic>
      <xdr:nvPicPr>
        <xdr:cNvPr id="3" name="Grafik 3" descr=""/>
        <xdr:cNvPicPr/>
      </xdr:nvPicPr>
      <xdr:blipFill>
        <a:blip r:embed="rId2"/>
        <a:stretch/>
      </xdr:blipFill>
      <xdr:spPr>
        <a:xfrm>
          <a:off x="190800" y="217080"/>
          <a:ext cx="504360" cy="3787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3</xdr:row>
      <xdr:rowOff>85680</xdr:rowOff>
    </xdr:from>
    <xdr:to>
      <xdr:col>5</xdr:col>
      <xdr:colOff>977400</xdr:colOff>
      <xdr:row>15</xdr:row>
      <xdr:rowOff>1066320</xdr:rowOff>
    </xdr:to>
    <xdr:graphicFrame>
      <xdr:nvGraphicFramePr>
        <xdr:cNvPr id="4" name="Diagramm 1"/>
        <xdr:cNvGraphicFramePr/>
      </xdr:nvGraphicFramePr>
      <xdr:xfrm>
        <a:off x="152280" y="538920"/>
        <a:ext cx="6207120" cy="43754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142920</xdr:colOff>
      <xdr:row>0</xdr:row>
      <xdr:rowOff>123840</xdr:rowOff>
    </xdr:from>
    <xdr:to>
      <xdr:col>1</xdr:col>
      <xdr:colOff>437760</xdr:colOff>
      <xdr:row>3</xdr:row>
      <xdr:rowOff>47160</xdr:rowOff>
    </xdr:to>
    <xdr:pic>
      <xdr:nvPicPr>
        <xdr:cNvPr id="5" name="Grafik 3" descr=""/>
        <xdr:cNvPicPr/>
      </xdr:nvPicPr>
      <xdr:blipFill>
        <a:blip r:embed="rId2"/>
        <a:stretch/>
      </xdr:blipFill>
      <xdr:spPr>
        <a:xfrm>
          <a:off x="142920" y="123840"/>
          <a:ext cx="485640" cy="3765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133200</xdr:colOff>
      <xdr:row>0</xdr:row>
      <xdr:rowOff>123840</xdr:rowOff>
    </xdr:from>
    <xdr:to>
      <xdr:col>1</xdr:col>
      <xdr:colOff>456840</xdr:colOff>
      <xdr:row>3</xdr:row>
      <xdr:rowOff>47160</xdr:rowOff>
    </xdr:to>
    <xdr:pic>
      <xdr:nvPicPr>
        <xdr:cNvPr id="6" name="Grafik 3" descr=""/>
        <xdr:cNvPicPr/>
      </xdr:nvPicPr>
      <xdr:blipFill>
        <a:blip r:embed="rId1"/>
        <a:stretch/>
      </xdr:blipFill>
      <xdr:spPr>
        <a:xfrm>
          <a:off x="133200" y="123840"/>
          <a:ext cx="514440" cy="376560"/>
        </a:xfrm>
        <a:prstGeom prst="rect">
          <a:avLst/>
        </a:prstGeom>
        <a:ln w="0">
          <a:noFill/>
        </a:ln>
      </xdr:spPr>
    </xdr:pic>
    <xdr:clientData/>
  </xdr:twoCellAnchor>
  <xdr:twoCellAnchor editAs="oneCell">
    <xdr:from>
      <xdr:col>1</xdr:col>
      <xdr:colOff>38160</xdr:colOff>
      <xdr:row>3</xdr:row>
      <xdr:rowOff>95400</xdr:rowOff>
    </xdr:from>
    <xdr:to>
      <xdr:col>5</xdr:col>
      <xdr:colOff>977760</xdr:colOff>
      <xdr:row>15</xdr:row>
      <xdr:rowOff>1002960</xdr:rowOff>
    </xdr:to>
    <xdr:graphicFrame>
      <xdr:nvGraphicFramePr>
        <xdr:cNvPr id="7" name="Diagramm 2"/>
        <xdr:cNvGraphicFramePr/>
      </xdr:nvGraphicFramePr>
      <xdr:xfrm>
        <a:off x="228960" y="548640"/>
        <a:ext cx="5818320" cy="43023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5667480</xdr:colOff>
      <xdr:row>0</xdr:row>
      <xdr:rowOff>152280</xdr:rowOff>
    </xdr:from>
    <xdr:to>
      <xdr:col>2</xdr:col>
      <xdr:colOff>5676480</xdr:colOff>
      <xdr:row>1</xdr:row>
      <xdr:rowOff>151920</xdr:rowOff>
    </xdr:to>
    <xdr:pic>
      <xdr:nvPicPr>
        <xdr:cNvPr id="8" name="Grafik 3" descr=""/>
        <xdr:cNvPicPr/>
      </xdr:nvPicPr>
      <xdr:blipFill>
        <a:blip r:embed="rId1"/>
        <a:stretch/>
      </xdr:blipFill>
      <xdr:spPr>
        <a:xfrm>
          <a:off x="8106840" y="152280"/>
          <a:ext cx="9000" cy="4186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http://data.worldbank.org/indicator/NY.GDP.MKTP.PP.CD" TargetMode="External"/>
</Relationships>
</file>

<file path=xl/worksheets/_rels/sheet14.xml.rels><?xml version="1.0" encoding="UTF-8"?>
<Relationships xmlns="http://schemas.openxmlformats.org/package/2006/relationships"><Relationship Id="rId1" Type="http://schemas.openxmlformats.org/officeDocument/2006/relationships/hyperlink" Target="mailto:info@economia-del-ben-comune.it" TargetMode="External"/><Relationship Id="rId2" Type="http://schemas.openxmlformats.org/officeDocument/2006/relationships/hyperlink" Target="mailto:nodo-empresas@economia-del-bien-comun.es" TargetMode="External"/><Relationship Id="rId3" Type="http://schemas.openxmlformats.org/officeDocument/2006/relationships/hyperlink" Target="mailto:audit@febc.eu" TargetMode="External"/><Relationship Id="rId4" Type="http://schemas.openxmlformats.org/officeDocument/2006/relationships/hyperlink" Target="mailto:nodo-empresas@economia-del-bien-comun.es" TargetMode="External"/><Relationship Id="rId5" Type="http://schemas.openxmlformats.org/officeDocument/2006/relationships/hyperlink" Target="mailto:bilanz@ecogood.org" TargetMode="External"/><Relationship Id="rId6" Type="http://schemas.openxmlformats.org/officeDocument/2006/relationships/hyperlink" Target="mailto:bilanz@ecogood.org" TargetMode="External"/><Relationship Id="rId7" Type="http://schemas.openxmlformats.org/officeDocument/2006/relationships/hyperlink" Target="mailto:christian.loy@gmx.at" TargetMode="External"/><Relationship Id="rId8" Type="http://schemas.openxmlformats.org/officeDocument/2006/relationships/hyperlink" Target="mailto:christian.loy@gmx.at" TargetMode="External"/><Relationship Id="rId9" Type="http://schemas.openxmlformats.org/officeDocument/2006/relationships/hyperlink" Target="mailto:christian.loy@gmx.a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mail@bla.com" TargetMode="Externa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10.99"/>
    <col collapsed="false" customWidth="true" hidden="false" outlineLevel="0" max="3" min="3" style="1" width="17.86"/>
    <col collapsed="false" customWidth="true" hidden="false" outlineLevel="0" max="4" min="4" style="1" width="66.86"/>
    <col collapsed="false" customWidth="false" hidden="false" outlineLevel="0" max="12" min="5" style="1" width="10.71"/>
    <col collapsed="false" customWidth="true" hidden="true" outlineLevel="0" max="13" min="13" style="1" width="11.52"/>
    <col collapsed="false" customWidth="false" hidden="false" outlineLevel="0" max="1024" min="14" style="1" width="10.71"/>
  </cols>
  <sheetData>
    <row r="1" customFormat="false" ht="29.25" hidden="false" customHeight="true" outlineLevel="0" collapsed="false">
      <c r="A1" s="2"/>
      <c r="B1" s="3" t="s">
        <v>0</v>
      </c>
      <c r="C1" s="3"/>
    </row>
    <row r="2" customFormat="false" ht="41.25" hidden="false" customHeight="true" outlineLevel="0" collapsed="false">
      <c r="A2" s="2"/>
      <c r="B2" s="4" t="str">
        <f aca="false">'12.lan'!D4</f>
        <v>BALANCE SHEET CALCULATOR</v>
      </c>
      <c r="C2" s="4"/>
      <c r="D2" s="4"/>
      <c r="M2" s="1" t="str">
        <f aca="false">IF('12.lan'!B2="","",'12.lan'!B2)</f>
        <v>Select your language</v>
      </c>
    </row>
    <row r="3" customFormat="false" ht="12.75" hidden="false" customHeight="true" outlineLevel="0" collapsed="false">
      <c r="A3" s="2"/>
      <c r="B3" s="5" t="str">
        <f aca="false">'12.lan'!D6</f>
        <v>Version</v>
      </c>
      <c r="C3" s="6" t="s">
        <v>1</v>
      </c>
      <c r="M3" s="1" t="str">
        <f aca="false">IF('12.lan'!B3="","",'12.lan'!B3)</f>
        <v>Deutsch</v>
      </c>
    </row>
    <row r="4" customFormat="false" ht="14.25" hidden="false" customHeight="true" outlineLevel="0" collapsed="false">
      <c r="A4" s="2"/>
      <c r="B4" s="2"/>
      <c r="C4" s="2"/>
      <c r="D4" s="2"/>
      <c r="M4" s="1" t="str">
        <f aca="false">IF('12.lan'!B4="","",'12.lan'!B4)</f>
        <v>Italiano</v>
      </c>
    </row>
    <row r="5" customFormat="false" ht="18.75" hidden="false" customHeight="true" outlineLevel="0" collapsed="false">
      <c r="A5" s="2"/>
      <c r="B5" s="7" t="str">
        <f aca="false">'12.lan'!D7</f>
        <v>WELCOME!</v>
      </c>
      <c r="C5" s="7"/>
      <c r="D5" s="7"/>
      <c r="M5" s="1" t="str">
        <f aca="false">IF('12.lan'!B5="","",'12.lan'!B5)</f>
        <v>English</v>
      </c>
    </row>
    <row r="6" customFormat="false" ht="47.25" hidden="false" customHeight="true" outlineLevel="0" collapsed="false">
      <c r="A6" s="2"/>
      <c r="B6" s="8" t="str">
        <f aca="false">'12.lan'!D8</f>
        <v>This tool is for calculating the overall Common Good Points for your company or organisation. It complements the Common Good Report and has to be used together with it. Have fun with your calculation!</v>
      </c>
      <c r="C6" s="8"/>
      <c r="D6" s="8"/>
      <c r="M6" s="1" t="str">
        <f aca="false">IF('12.lan'!B6="","",'12.lan'!B6)</f>
        <v>Español</v>
      </c>
    </row>
    <row r="7" customFormat="false" ht="24" hidden="false" customHeight="true" outlineLevel="0" collapsed="false">
      <c r="A7" s="2"/>
      <c r="B7" s="2"/>
      <c r="C7" s="2"/>
      <c r="D7" s="2"/>
      <c r="M7" s="1" t="str">
        <f aca="false">IF('12.lan'!B7="","",'12.lan'!B7)</f>
        <v>Francais</v>
      </c>
    </row>
    <row r="8" customFormat="false" ht="18.75" hidden="false" customHeight="true" outlineLevel="0" collapsed="false">
      <c r="A8" s="2"/>
      <c r="B8" s="7" t="str">
        <f aca="false">'12.lan'!D9</f>
        <v>HOW TO USE THE BALANCE SHEET CALCULATOR:</v>
      </c>
      <c r="C8" s="7"/>
      <c r="D8" s="7"/>
      <c r="M8" s="1" t="str">
        <f aca="false">IF('12.lan'!B8="","",'12.lan'!B8)</f>
        <v>Portugues</v>
      </c>
    </row>
    <row r="9" customFormat="false" ht="29.25" hidden="false" customHeight="true" outlineLevel="0" collapsed="false">
      <c r="A9" s="2"/>
      <c r="B9" s="9" t="str">
        <f aca="false">'12.lan'!D10</f>
        <v>1. General</v>
      </c>
      <c r="C9" s="9"/>
      <c r="D9" s="10" t="str">
        <f aca="false">'12.lan'!D11</f>
        <v>You can enter general information about your company or organisation in this section.</v>
      </c>
      <c r="M9" s="1" t="str">
        <f aca="false">IF('12.lan'!B9="","",'12.lan'!B9)</f>
        <v>Griechisch</v>
      </c>
    </row>
    <row r="10" customFormat="false" ht="37.5" hidden="false" customHeight="true" outlineLevel="0" collapsed="false">
      <c r="A10" s="2"/>
      <c r="B10" s="11" t="str">
        <f aca="false">'12.lan'!D28</f>
        <v>2. Company details</v>
      </c>
      <c r="C10" s="11"/>
      <c r="D10" s="10" t="str">
        <f aca="false">'12.lan'!D12</f>
        <v>All fields in this section must be completed as they are essential for the weighting of each theme.</v>
      </c>
      <c r="M10" s="1" t="str">
        <f aca="false">IF('12.lan'!B10="","",'12.lan'!B10)</f>
        <v/>
      </c>
    </row>
    <row r="11" customFormat="false" ht="48" hidden="false" customHeight="true" outlineLevel="0" collapsed="false">
      <c r="A11" s="2"/>
      <c r="B11" s="11" t="str">
        <f aca="false">'12.lan'!D29</f>
        <v>3. Scoring</v>
      </c>
      <c r="C11" s="11"/>
      <c r="D11" s="10" t="str">
        <f aca="false">'12.lan'!D13</f>
        <v>For each theme (A1, B1, ...) a certain maximum number of Common Good Points can be achieved. To evaluate how many points your company scores, follow these steps:</v>
      </c>
      <c r="M11" s="1" t="str">
        <f aca="false">IF('12.lan'!B11="","",'12.lan'!B11)</f>
        <v/>
      </c>
    </row>
    <row r="12" customFormat="false" ht="59.25" hidden="false" customHeight="true" outlineLevel="0" collapsed="false">
      <c r="A12" s="2"/>
      <c r="B12" s="12" t="s">
        <v>2</v>
      </c>
      <c r="C12" s="12"/>
      <c r="D12" s="10" t="str">
        <f aca="false">'12.lan'!D14</f>
        <v>Describe the current status and potential for improvement for the various aspects under key headings. Use the workbook as a reference. (This is optional and not absolutely necessary for the calculation.)</v>
      </c>
      <c r="M12" s="1" t="str">
        <f aca="false">IF('12.lan'!B12="","",'12.lan'!B12)</f>
        <v/>
      </c>
    </row>
    <row r="13" customFormat="false" ht="61.5" hidden="false" customHeight="true" outlineLevel="0" collapsed="false">
      <c r="A13" s="2"/>
      <c r="B13" s="12" t="s">
        <v>3</v>
      </c>
      <c r="C13" s="12"/>
      <c r="D13" s="10" t="str">
        <f aca="false">'12.lan'!D15</f>
        <v>Based on these descriptions, indicate on a scale of 0-10 how far you consider the respective aspect is met (Achievement level). The criteria for choosing the correct value can be found in the Workbook.</v>
      </c>
    </row>
    <row r="14" customFormat="false" ht="33" hidden="false" customHeight="true" outlineLevel="0" collapsed="false">
      <c r="A14" s="2"/>
      <c r="B14" s="12" t="s">
        <v>4</v>
      </c>
      <c r="C14" s="12"/>
      <c r="D14" s="10" t="str">
        <f aca="false">'12.lan'!D16</f>
        <v>Negative aspects are allocated negative points according to the descriptions set out in the Workbook.</v>
      </c>
    </row>
    <row r="15" customFormat="false" ht="100.5" hidden="false" customHeight="true" outlineLevel="0" collapsed="false">
      <c r="A15" s="2"/>
      <c r="B15" s="12" t="s">
        <v>5</v>
      </c>
      <c r="C15" s="12"/>
      <c r="D15" s="13" t="str">
        <f aca="false">'12.lan'!D17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customFormat="false" ht="48" hidden="false" customHeight="true" outlineLevel="0" collapsed="false">
      <c r="A16" s="2"/>
      <c r="B16" s="12" t="s">
        <v>6</v>
      </c>
      <c r="C16" s="12"/>
      <c r="D16" s="10" t="str">
        <f aca="false">'12.lan'!D18</f>
        <v>The calculation automatically weights each theme’s total value against the data in the ‘Company details’ section and rounds it to a whole-number multiple of 10%.</v>
      </c>
    </row>
    <row r="17" customFormat="false" ht="18.75" hidden="false" customHeight="true" outlineLevel="0" collapsed="false">
      <c r="A17" s="2"/>
      <c r="B17" s="11" t="str">
        <f aca="false">'12.lan'!D30</f>
        <v>4. ECG Matrix</v>
      </c>
      <c r="C17" s="11"/>
      <c r="D17" s="10" t="str">
        <f aca="false">'12.lan'!D19</f>
        <v>The ECG-Matrix displays your result in a table.</v>
      </c>
    </row>
    <row r="18" customFormat="false" ht="32.25" hidden="false" customHeight="true" outlineLevel="0" collapsed="false">
      <c r="A18" s="2"/>
      <c r="B18" s="11" t="str">
        <f aca="false">'12.lan'!D31</f>
        <v>5. Values star</v>
      </c>
      <c r="C18" s="11"/>
      <c r="D18" s="10" t="str">
        <f aca="false">'12.lan'!D21</f>
        <v>The values-star displays your result arranged by value as a graphic.</v>
      </c>
    </row>
    <row r="19" customFormat="false" ht="32.25" hidden="false" customHeight="true" outlineLevel="0" collapsed="false">
      <c r="A19" s="2"/>
      <c r="B19" s="11" t="str">
        <f aca="false">'12.lan'!D32</f>
        <v>6. Group star</v>
      </c>
      <c r="C19" s="11"/>
      <c r="D19" s="10" t="str">
        <f aca="false">'12.lan'!D22</f>
        <v>The group-star displays your result arranged by stakeholder as a graphic.</v>
      </c>
    </row>
    <row r="20" customFormat="false" ht="28.5" hidden="false" customHeight="true" outlineLevel="0" collapsed="false">
      <c r="A20" s="2"/>
      <c r="B20" s="11" t="str">
        <f aca="false">'12.lan'!D33</f>
        <v>7. Theme star</v>
      </c>
      <c r="C20" s="11"/>
      <c r="D20" s="13" t="str">
        <f aca="false">'12.lan'!D23</f>
        <v>The theme-star displays the result of your themes as a graphic.</v>
      </c>
    </row>
    <row r="21" customFormat="false" ht="30" hidden="false" customHeight="true" outlineLevel="0" collapsed="false">
      <c r="A21" s="2"/>
      <c r="B21" s="14" t="str">
        <f aca="false">'12.lan'!D34</f>
        <v>8. Weighting model description</v>
      </c>
      <c r="C21" s="14"/>
      <c r="D21" s="13" t="str">
        <f aca="false">'12.lan'!D24</f>
        <v>This is a description of the weighting model.</v>
      </c>
    </row>
    <row r="22" customFormat="false" ht="41.25" hidden="false" customHeight="true" outlineLevel="0" collapsed="false">
      <c r="A22" s="2"/>
      <c r="B22" s="11" t="str">
        <f aca="false">'12.lan'!D35</f>
        <v>9. Weighting (hidden)</v>
      </c>
      <c r="C22" s="11"/>
      <c r="D22" s="13" t="str">
        <f aca="false">'12.lan'!D25</f>
        <v>This is where the calculation determines how the individual stakeholder groups and themes are weighted.</v>
      </c>
    </row>
    <row r="23" customFormat="false" ht="43.5" hidden="false" customHeight="true" outlineLevel="0" collapsed="false">
      <c r="A23" s="2"/>
      <c r="B23" s="11" t="str">
        <f aca="false">'12.lan'!D36</f>
        <v>10. Industry sectors (hidden)</v>
      </c>
      <c r="C23" s="11"/>
      <c r="D23" s="13" t="str">
        <f aca="false">'12.lan'!D26</f>
        <v>This contains an assessment of the relevance of supply chains and environmental sustainability for all industry sectors, used in the weighting.</v>
      </c>
    </row>
    <row r="24" customFormat="false" ht="35.25" hidden="false" customHeight="true" outlineLevel="0" collapsed="false">
      <c r="A24" s="2"/>
      <c r="B24" s="14" t="str">
        <f aca="false">'12.lan'!D37</f>
        <v>11. Countries (hidden)</v>
      </c>
      <c r="C24" s="14"/>
      <c r="D24" s="13" t="str">
        <f aca="false">'12.lan'!D27</f>
        <v>This contains statistics for countries and regions used in the weighting.</v>
      </c>
    </row>
    <row r="25" customFormat="false" ht="15" hidden="false" customHeight="true" outlineLevel="0" collapsed="false">
      <c r="A25" s="2"/>
      <c r="B25" s="15"/>
      <c r="C25" s="15"/>
      <c r="D25" s="16"/>
    </row>
    <row r="26" customFormat="false" ht="12.75" hidden="false" customHeight="true" outlineLevel="0" collapsed="false">
      <c r="A26" s="2"/>
      <c r="B26" s="7" t="str">
        <f aca="false">'12.lan'!D40</f>
        <v>KEY</v>
      </c>
      <c r="C26" s="7"/>
      <c r="D26" s="7"/>
    </row>
    <row r="27" customFormat="false" ht="19.5" hidden="false" customHeight="true" outlineLevel="0" collapsed="false">
      <c r="A27" s="2"/>
      <c r="B27" s="17" t="str">
        <f aca="false">'12.lan'!D41</f>
        <v>Field is editable (green frame, dark green text)</v>
      </c>
      <c r="C27" s="17"/>
      <c r="D27" s="17"/>
    </row>
    <row r="28" customFormat="false" ht="1.5" hidden="false" customHeight="true" outlineLevel="0" collapsed="false">
      <c r="A28" s="2"/>
      <c r="B28" s="18"/>
      <c r="C28" s="18"/>
      <c r="D28" s="19"/>
    </row>
    <row r="29" customFormat="false" ht="19.5" hidden="false" customHeight="true" outlineLevel="0" collapsed="false">
      <c r="A29" s="2"/>
      <c r="B29" s="20" t="str">
        <f aca="false">'12.lan'!D42</f>
        <v>Feld is read-only (grey frame, dark grey text)</v>
      </c>
      <c r="C29" s="20"/>
      <c r="D29" s="20"/>
    </row>
    <row r="30" customFormat="false" ht="1.5" hidden="false" customHeight="true" outlineLevel="0" collapsed="false">
      <c r="A30" s="2"/>
      <c r="B30" s="18"/>
      <c r="C30" s="18"/>
      <c r="D30" s="19"/>
    </row>
    <row r="31" customFormat="false" ht="19.5" hidden="false" customHeight="true" outlineLevel="0" collapsed="false">
      <c r="A31" s="2"/>
      <c r="B31" s="21" t="str">
        <f aca="false">'12.lan'!D43</f>
        <v>non valid value entry (for correct calculation change value)</v>
      </c>
      <c r="C31" s="21"/>
      <c r="D31" s="21"/>
    </row>
    <row r="32" customFormat="false" ht="12.75" hidden="false" customHeight="true" outlineLevel="0" collapsed="false">
      <c r="A32" s="2"/>
      <c r="B32" s="2"/>
      <c r="C32" s="2"/>
      <c r="D32" s="2"/>
    </row>
    <row r="33" customFormat="false" ht="12.75" hidden="false" customHeight="true" outlineLevel="0" collapsed="false">
      <c r="A33" s="2"/>
      <c r="B33" s="7" t="str">
        <f aca="false">'12.lan'!D54</f>
        <v>CONTACT</v>
      </c>
      <c r="C33" s="7"/>
      <c r="D33" s="7"/>
    </row>
    <row r="34" customFormat="false" ht="12.75" hidden="false" customHeight="true" outlineLevel="0" collapsed="false">
      <c r="A34" s="2"/>
      <c r="B34" s="22" t="str">
        <f aca="false">'12.lan'!D55</f>
        <v>Questions regarding preparation of balance sheet:
beratung@gemeinwohl-oekonomie.org (GWÖ-BeraterInnen);</v>
      </c>
      <c r="C34" s="22"/>
      <c r="D34" s="22"/>
    </row>
    <row r="35" customFormat="false" ht="12.75" hidden="false" customHeight="true" outlineLevel="0" collapsed="false">
      <c r="A35" s="2"/>
      <c r="B35" s="22" t="str">
        <f aca="false">'12.lan'!D56</f>
        <v>Questions regarding audit: audit@gemeinwohl-oekonomie.org (GWÖ-AuditorInnen);</v>
      </c>
      <c r="C35" s="22"/>
      <c r="D35" s="22"/>
    </row>
    <row r="36" customFormat="false" ht="12.75" hidden="false" customHeight="true" outlineLevel="0" collapsed="false">
      <c r="A36" s="2"/>
      <c r="B36" s="23" t="str">
        <f aca="false">'12.lan'!D57</f>
        <v>Feedback on the development of the Matrix: bilanz@ecogood.org (Matrix Development Team)</v>
      </c>
      <c r="C36" s="23"/>
      <c r="D36" s="23"/>
    </row>
    <row r="37" customFormat="false" ht="51" hidden="false" customHeight="true" outlineLevel="0" collapsed="false">
      <c r="A37" s="2"/>
      <c r="B37" s="24" t="str">
        <f aca="false">'12.lan'!D58</f>
        <v>Excel programming: Christian Loy (christian.loy@gmx.at); Christian Kozina; Multilanguage tool: Bernhard Oberrauch</v>
      </c>
      <c r="C37" s="24"/>
      <c r="D37" s="24"/>
    </row>
    <row r="38" customFormat="false" ht="30" hidden="false" customHeight="true" outlineLevel="0" collapsed="false">
      <c r="A38" s="2"/>
      <c r="B38" s="25" t="str">
        <f aca="false">'12.lan'!D59</f>
        <v>Contents: ECG-Matrix Development Team</v>
      </c>
      <c r="C38" s="25"/>
      <c r="D38" s="25"/>
    </row>
    <row r="39" customFormat="false" ht="12.75" hidden="false" customHeight="true" outlineLevel="0" collapsed="false">
      <c r="A39" s="2"/>
      <c r="B39" s="2"/>
      <c r="C39" s="2"/>
      <c r="D39" s="2"/>
    </row>
    <row r="40" customFormat="false" ht="12.75" hidden="false" customHeight="true" outlineLevel="0" collapsed="false">
      <c r="A40" s="2"/>
      <c r="B40" s="7" t="str">
        <f aca="false">'12.lan'!D60</f>
        <v>NOTES</v>
      </c>
      <c r="C40" s="7"/>
      <c r="D40" s="7"/>
    </row>
    <row r="41" customFormat="false" ht="28.5" hidden="false" customHeight="true" outlineLevel="0" collapsed="false">
      <c r="B41" s="26" t="str">
        <f aca="false">'12.lan'!D61</f>
        <v>All sheets are optimised for printing on A4 format (landscape or portrait).
The height of rows can be adjusted, if you enter more text</v>
      </c>
      <c r="C41" s="26"/>
      <c r="D41" s="26"/>
    </row>
  </sheetData>
  <sheetProtection algorithmName="SHA-512" hashValue="Yd70q2yfEfD6aKp5tOQBJHWt3xYaoD0dx2qTnFAs/iXioXlC45Zz32KEmwfvjSCRjG/ceimx2NbbLL+GWqGKzg==" saltValue="hlmkZNWFUC3H6gQXd+KM6A==" spinCount="100000" sheet="true" objects="true" scenarios="true"/>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6:D26"/>
    <mergeCell ref="B27:D27"/>
    <mergeCell ref="B29:D29"/>
    <mergeCell ref="B31:D31"/>
    <mergeCell ref="B33:D33"/>
    <mergeCell ref="B34:D34"/>
    <mergeCell ref="B35:D35"/>
    <mergeCell ref="B36:D36"/>
    <mergeCell ref="B37:D37"/>
    <mergeCell ref="B38:D38"/>
    <mergeCell ref="B40:D40"/>
    <mergeCell ref="B41:D41"/>
  </mergeCells>
  <dataValidations count="1">
    <dataValidation allowBlank="true" operator="between" showDropDown="false" showErrorMessage="true" showInputMessage="true" sqref="B1:C1" type="list">
      <formula1>$M$2:$M$12</formula1>
      <formula2>0</formula2>
    </dataValidation>
  </dataValidations>
  <printOptions headings="false" gridLines="false" gridLinesSet="true" horizontalCentered="false" verticalCentered="false"/>
  <pageMargins left="0.520138888888889" right="0.590277777777778"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2" topLeftCell="A3" activePane="bottomLeft" state="frozen"/>
      <selection pane="topLeft" activeCell="A1" activeCellId="0" sqref="A1"/>
      <selection pane="bottomLeft" activeCell="C1" activeCellId="0" sqref="C1"/>
    </sheetView>
  </sheetViews>
  <sheetFormatPr defaultColWidth="10.30078125" defaultRowHeight="12.75" zeroHeight="false" outlineLevelRow="0" outlineLevelCol="0"/>
  <cols>
    <col collapsed="false" customWidth="true" hidden="false" outlineLevel="0" max="1" min="1" style="387" width="32.29"/>
    <col collapsed="false" customWidth="true" hidden="false" outlineLevel="0" max="2" min="2" style="387" width="2.29"/>
    <col collapsed="false" customWidth="true" hidden="false" outlineLevel="0" max="3" min="3" style="388" width="94.29"/>
    <col collapsed="false" customWidth="true" hidden="false" outlineLevel="0" max="4" min="4" style="388" width="4.71"/>
    <col collapsed="false" customWidth="false" hidden="false" outlineLevel="0" max="1024" min="5" style="388" width="10.29"/>
  </cols>
  <sheetData>
    <row r="1" customFormat="false" ht="33" hidden="false" customHeight="true" outlineLevel="0" collapsed="false">
      <c r="A1" s="389" t="str">
        <f aca="false">'12.lan'!D91&amp;" - "&amp;'0. Intro'!B3&amp;" "&amp;'0. Intro'!C3</f>
        <v>Common Good Balance Calculator - Version 5.04</v>
      </c>
      <c r="B1" s="390"/>
      <c r="C1" s="390"/>
      <c r="D1" s="390"/>
      <c r="E1" s="390"/>
      <c r="F1" s="390"/>
    </row>
    <row r="2" customFormat="false" ht="31.5" hidden="false" customHeight="true" outlineLevel="0" collapsed="false">
      <c r="A2" s="33" t="str">
        <f aca="false">'12.lan'!D204</f>
        <v>Description of the weighting model</v>
      </c>
      <c r="B2" s="33"/>
      <c r="C2" s="33"/>
      <c r="D2" s="391"/>
      <c r="E2" s="391"/>
    </row>
    <row r="3" customFormat="false" ht="12" hidden="false" customHeight="true" outlineLevel="0" collapsed="false">
      <c r="A3" s="391"/>
      <c r="B3" s="391"/>
      <c r="C3" s="391"/>
      <c r="D3" s="391"/>
      <c r="E3" s="391"/>
    </row>
    <row r="4" customFormat="false" ht="108" hidden="false" customHeight="true" outlineLevel="0" collapsed="false">
      <c r="A4" s="392" t="str">
        <f aca="false">'12.lan'!D208</f>
        <v>General</v>
      </c>
      <c r="B4" s="392"/>
      <c r="C4" s="393" t="str">
        <f aca="false">'12.lan'!D244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v>
      </c>
      <c r="D4" s="391"/>
      <c r="E4" s="391"/>
    </row>
    <row r="5" customFormat="false" ht="78.75" hidden="false" customHeight="true" outlineLevel="0" collapsed="false">
      <c r="A5" s="392" t="str">
        <f aca="false">'12.lan'!D207</f>
        <v>Stakekolders &amp; values</v>
      </c>
      <c r="B5" s="392"/>
      <c r="C5" s="393" t="str">
        <f aca="false">'12.lan'!D245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customFormat="false" ht="45.75" hidden="false" customHeight="true" outlineLevel="0" collapsed="false">
      <c r="A6" s="394" t="str">
        <f aca="false">'12.lan'!D205</f>
        <v>Themes</v>
      </c>
      <c r="B6" s="394"/>
      <c r="C6" s="395" t="str">
        <f aca="false">'12.lan'!D246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customFormat="false" ht="18.75" hidden="false" customHeight="true" outlineLevel="0" collapsed="false">
      <c r="A7" s="396" t="s">
        <v>23</v>
      </c>
      <c r="B7" s="396"/>
      <c r="C7" s="395" t="s">
        <v>164</v>
      </c>
    </row>
    <row r="8" customFormat="false" ht="18.75" hidden="false" customHeight="true" outlineLevel="0" collapsed="false">
      <c r="A8" s="397" t="s">
        <v>26</v>
      </c>
      <c r="B8" s="397"/>
      <c r="C8" s="395" t="str">
        <f aca="false">'12.lan'!D248</f>
        <v>-</v>
      </c>
    </row>
    <row r="9" customFormat="false" ht="26.25" hidden="false" customHeight="true" outlineLevel="0" collapsed="false">
      <c r="A9" s="398" t="s">
        <v>30</v>
      </c>
      <c r="B9" s="398"/>
      <c r="C9" s="395" t="str">
        <f aca="false">'12.lan'!D249</f>
        <v>The weighting of this theme is dependent on the environmental effect of the supplier's sector (see sheet “Industry").</v>
      </c>
    </row>
    <row r="10" customFormat="false" ht="24.75" hidden="false" customHeight="true" outlineLevel="0" collapsed="false">
      <c r="A10" s="398" t="s">
        <v>33</v>
      </c>
      <c r="B10" s="398"/>
      <c r="C10" s="395" t="str">
        <f aca="false">'12.lan'!D250</f>
        <v>The weighting of this theme is dependent on co-determination rights in the countries of the most important supply industries (based on the ILUC index of the International Labour Union).</v>
      </c>
    </row>
    <row r="11" customFormat="false" ht="20.25" hidden="false" customHeight="true" outlineLevel="0" collapsed="false">
      <c r="A11" s="398" t="s">
        <v>37</v>
      </c>
      <c r="B11" s="398"/>
      <c r="C11" s="395" t="str">
        <f aca="false">'12.lan'!D251</f>
        <v>The weighting of this theme depends on the ratio turnover to the balance sheet total.</v>
      </c>
    </row>
    <row r="12" customFormat="false" ht="20.25" hidden="false" customHeight="true" outlineLevel="0" collapsed="false">
      <c r="A12" s="398" t="s">
        <v>41</v>
      </c>
      <c r="B12" s="398"/>
      <c r="C12" s="395" t="str">
        <f aca="false">'12.lan'!D252</f>
        <v>The weighting of this theme depends on the ratio profit to turnover</v>
      </c>
    </row>
    <row r="13" customFormat="false" ht="20.25" hidden="false" customHeight="true" outlineLevel="0" collapsed="false">
      <c r="A13" s="398" t="s">
        <v>44</v>
      </c>
      <c r="B13" s="398"/>
      <c r="C13" s="395" t="str">
        <f aca="false">'12.lan'!D253</f>
        <v>The weighting of this theme is dependent on additions to fixed-assets and financial assets in relation to the balance sheet total.</v>
      </c>
    </row>
    <row r="14" customFormat="false" ht="20.25" hidden="false" customHeight="true" outlineLevel="0" collapsed="false">
      <c r="A14" s="398" t="s">
        <v>48</v>
      </c>
      <c r="B14" s="398"/>
      <c r="C14" s="395" t="str">
        <f aca="false">'12.lan'!D254</f>
        <v>The weighting of this theme is dependent on the size of the company.</v>
      </c>
    </row>
    <row r="15" customFormat="false" ht="20.25" hidden="false" customHeight="true" outlineLevel="0" collapsed="false">
      <c r="A15" s="398" t="s">
        <v>52</v>
      </c>
      <c r="B15" s="398"/>
      <c r="C15" s="395" t="str">
        <f aca="false">'12.lan'!D255</f>
        <v>-</v>
      </c>
    </row>
    <row r="16" customFormat="false" ht="20.25" hidden="false" customHeight="true" outlineLevel="0" collapsed="false">
      <c r="A16" s="398" t="s">
        <v>57</v>
      </c>
      <c r="B16" s="398"/>
      <c r="C16" s="395" t="str">
        <f aca="false">'12.lan'!D256</f>
        <v>-</v>
      </c>
    </row>
    <row r="17" customFormat="false" ht="26.25" hidden="false" customHeight="true" outlineLevel="0" collapsed="false">
      <c r="A17" s="398" t="s">
        <v>62</v>
      </c>
      <c r="B17" s="398"/>
      <c r="C17" s="395" t="str">
        <f aca="false">'12.lan'!D257</f>
        <v>The weighting of this theme is dependent on the existence of a canteen for most of the employees as well as an (estimated) average commute to work. </v>
      </c>
    </row>
    <row r="18" customFormat="false" ht="24.75" hidden="false" customHeight="true" outlineLevel="0" collapsed="false">
      <c r="A18" s="398" t="s">
        <v>67</v>
      </c>
      <c r="B18" s="398"/>
      <c r="C18" s="395" t="str">
        <f aca="false">'12.lan'!D258</f>
        <v>The weighting of this theme is dependent on company size and co-determination rights in the countries of the most important supply industries (based on the ILUC index of the International Labour Union).</v>
      </c>
    </row>
    <row r="19" customFormat="false" ht="16.5" hidden="false" customHeight="true" outlineLevel="0" collapsed="false">
      <c r="A19" s="398" t="s">
        <v>73</v>
      </c>
      <c r="B19" s="398"/>
      <c r="C19" s="395" t="str">
        <f aca="false">'12.lan'!D259</f>
        <v>-</v>
      </c>
    </row>
    <row r="20" customFormat="false" ht="16.5" hidden="false" customHeight="true" outlineLevel="0" collapsed="false">
      <c r="A20" s="398" t="s">
        <v>77</v>
      </c>
      <c r="B20" s="398"/>
      <c r="C20" s="395" t="str">
        <f aca="false">'12.lan'!D260</f>
        <v>-</v>
      </c>
    </row>
    <row r="21" customFormat="false" ht="16.5" hidden="false" customHeight="true" outlineLevel="0" collapsed="false">
      <c r="A21" s="398" t="s">
        <v>81</v>
      </c>
      <c r="B21" s="398"/>
      <c r="C21" s="395" t="str">
        <f aca="false">'12.lan'!D261</f>
        <v>The weighting of this theme depends on the industry sector.</v>
      </c>
    </row>
    <row r="22" customFormat="false" ht="16.5" hidden="false" customHeight="true" outlineLevel="0" collapsed="false">
      <c r="A22" s="398" t="s">
        <v>85</v>
      </c>
      <c r="B22" s="398"/>
      <c r="C22" s="395" t="str">
        <f aca="false">'12.lan'!D262</f>
        <v>The weighting of this theme depends on whether customers are primarily individuals or companies.</v>
      </c>
    </row>
    <row r="23" customFormat="false" ht="16.5" hidden="false" customHeight="true" outlineLevel="0" collapsed="false">
      <c r="A23" s="398" t="s">
        <v>89</v>
      </c>
      <c r="B23" s="398"/>
      <c r="C23" s="395" t="str">
        <f aca="false">'12.lan'!D263</f>
        <v>-</v>
      </c>
    </row>
    <row r="24" customFormat="false" ht="16.5" hidden="false" customHeight="true" outlineLevel="0" collapsed="false">
      <c r="A24" s="398" t="s">
        <v>93</v>
      </c>
      <c r="B24" s="398"/>
      <c r="C24" s="395" t="str">
        <f aca="false">'12.lan'!D264</f>
        <v>The weighting of this theme is dependent on the return on sales (profit/turnover).</v>
      </c>
    </row>
    <row r="25" customFormat="false" ht="16.5" hidden="false" customHeight="true" outlineLevel="0" collapsed="false">
      <c r="A25" s="398" t="s">
        <v>98</v>
      </c>
      <c r="B25" s="398"/>
      <c r="C25" s="395" t="str">
        <f aca="false">'12.lan'!D265</f>
        <v>The weighting of this theme depends on the industry sector.</v>
      </c>
    </row>
    <row r="26" customFormat="false" ht="16.5" hidden="false" customHeight="true" outlineLevel="0" collapsed="false">
      <c r="A26" s="399" t="s">
        <v>102</v>
      </c>
      <c r="B26" s="399"/>
      <c r="C26" s="395" t="str">
        <f aca="false">'12.lan'!D266</f>
        <v>The weighting of this theme depends on the company size and the industry sector.</v>
      </c>
    </row>
  </sheetData>
  <sheetProtection algorithmName="SHA-512" hashValue="CQffYlUNLhfZJ+hH1SHjtGEWWCeLgD4pfcDOfYxznn+WJcp3/1j1yjND2ZxI8sJ3mBWg5mpbmJuXW/dO78zkaA==" saltValue="jY4QANegUY/oUqcu5hbhSA==" spinCount="100000" sheet="true"/>
  <mergeCells count="1">
    <mergeCell ref="A2:C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3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K33" activeCellId="0" sqref="K33"/>
    </sheetView>
  </sheetViews>
  <sheetFormatPr defaultColWidth="10.30078125" defaultRowHeight="9.75" zeroHeight="false" outlineLevelRow="0" outlineLevelCol="0"/>
  <cols>
    <col collapsed="false" customWidth="true" hidden="false" outlineLevel="0" max="1" min="1" style="400" width="6.28"/>
    <col collapsed="false" customWidth="true" hidden="false" outlineLevel="0" max="2" min="2" style="400" width="43.29"/>
    <col collapsed="false" customWidth="true" hidden="false" outlineLevel="0" max="3" min="3" style="401" width="5.01"/>
    <col collapsed="false" customWidth="true" hidden="false" outlineLevel="0" max="4" min="4" style="400" width="1.29"/>
    <col collapsed="false" customWidth="true" hidden="false" outlineLevel="0" max="5" min="5" style="400" width="7.86"/>
    <col collapsed="false" customWidth="true" hidden="false" outlineLevel="0" max="6" min="6" style="400" width="12.29"/>
    <col collapsed="false" customWidth="true" hidden="true" outlineLevel="0" max="7" min="7" style="400" width="9.29"/>
    <col collapsed="false" customWidth="true" hidden="true" outlineLevel="0" max="8" min="8" style="400" width="20.86"/>
    <col collapsed="false" customWidth="true" hidden="false" outlineLevel="0" max="9" min="9" style="401" width="7.86"/>
    <col collapsed="false" customWidth="true" hidden="false" outlineLevel="0" max="10" min="10" style="400" width="14.86"/>
    <col collapsed="false" customWidth="true" hidden="false" outlineLevel="0" max="11" min="11" style="401" width="7.86"/>
    <col collapsed="false" customWidth="true" hidden="false" outlineLevel="0" max="12" min="12" style="400" width="14.28"/>
    <col collapsed="false" customWidth="true" hidden="false" outlineLevel="0" max="13" min="13" style="400" width="7.86"/>
    <col collapsed="false" customWidth="true" hidden="false" outlineLevel="0" max="14" min="14" style="400" width="9.85"/>
    <col collapsed="false" customWidth="true" hidden="false" outlineLevel="0" max="15" min="15" style="400" width="2.29"/>
    <col collapsed="false" customWidth="true" hidden="false" outlineLevel="0" max="16" min="16" style="400" width="7.86"/>
    <col collapsed="false" customWidth="true" hidden="false" outlineLevel="0" max="17" min="17" style="400" width="16.29"/>
    <col collapsed="false" customWidth="false" hidden="false" outlineLevel="0" max="1024" min="18" style="400" width="10.29"/>
  </cols>
  <sheetData>
    <row r="1" customFormat="false" ht="29.25" hidden="false" customHeight="true" outlineLevel="0" collapsed="false">
      <c r="A1" s="402" t="s">
        <v>165</v>
      </c>
      <c r="B1" s="402"/>
      <c r="C1" s="402"/>
      <c r="D1" s="402"/>
      <c r="E1" s="402"/>
      <c r="F1" s="402"/>
      <c r="G1" s="402"/>
      <c r="H1" s="402"/>
      <c r="I1" s="402"/>
      <c r="J1" s="402"/>
      <c r="K1" s="402"/>
      <c r="L1" s="402"/>
      <c r="M1" s="402"/>
      <c r="N1" s="402"/>
      <c r="O1" s="402"/>
      <c r="P1" s="402"/>
      <c r="Q1" s="402"/>
    </row>
    <row r="2" customFormat="false" ht="22.5" hidden="false" customHeight="true" outlineLevel="0" collapsed="false">
      <c r="A2" s="403"/>
      <c r="B2" s="404" t="s">
        <v>166</v>
      </c>
      <c r="C2" s="405"/>
      <c r="D2" s="405"/>
      <c r="E2" s="406" t="s">
        <v>167</v>
      </c>
      <c r="F2" s="406"/>
      <c r="G2" s="407" t="s">
        <v>168</v>
      </c>
      <c r="H2" s="407"/>
      <c r="I2" s="408" t="s">
        <v>169</v>
      </c>
      <c r="J2" s="408"/>
      <c r="K2" s="405" t="s">
        <v>170</v>
      </c>
      <c r="L2" s="405"/>
      <c r="M2" s="409" t="s">
        <v>171</v>
      </c>
      <c r="N2" s="409"/>
      <c r="O2" s="410" t="s">
        <v>172</v>
      </c>
      <c r="P2" s="410"/>
      <c r="Q2" s="410"/>
      <c r="R2" s="411"/>
      <c r="S2" s="411"/>
    </row>
    <row r="3" customFormat="false" ht="111" hidden="false" customHeight="true" outlineLevel="0" collapsed="false">
      <c r="A3" s="412"/>
      <c r="B3" s="413" t="s">
        <v>173</v>
      </c>
      <c r="C3" s="414"/>
      <c r="D3" s="415"/>
      <c r="E3" s="416" t="s">
        <v>174</v>
      </c>
      <c r="F3" s="415" t="s">
        <v>175</v>
      </c>
      <c r="G3" s="417" t="s">
        <v>174</v>
      </c>
      <c r="H3" s="417" t="s">
        <v>176</v>
      </c>
      <c r="I3" s="418" t="s">
        <v>174</v>
      </c>
      <c r="J3" s="419" t="s">
        <v>177</v>
      </c>
      <c r="K3" s="414" t="s">
        <v>174</v>
      </c>
      <c r="L3" s="415" t="s">
        <v>178</v>
      </c>
      <c r="M3" s="420" t="s">
        <v>174</v>
      </c>
      <c r="N3" s="419" t="s">
        <v>179</v>
      </c>
      <c r="O3" s="421"/>
      <c r="P3" s="422" t="s">
        <v>174</v>
      </c>
      <c r="Q3" s="423" t="s">
        <v>180</v>
      </c>
    </row>
    <row r="4" customFormat="false" ht="71.1" hidden="false" customHeight="true" outlineLevel="0" collapsed="false">
      <c r="A4" s="424" t="s">
        <v>181</v>
      </c>
      <c r="B4" s="425" t="str">
        <f aca="false">'12.lan'!D268</f>
        <v>A - agriculture, forestry management, fishing industry</v>
      </c>
      <c r="C4" s="426"/>
      <c r="D4" s="427"/>
      <c r="E4" s="428" t="s">
        <v>162</v>
      </c>
      <c r="F4" s="427"/>
      <c r="G4" s="429"/>
      <c r="H4" s="429" t="s">
        <v>182</v>
      </c>
      <c r="I4" s="430" t="s">
        <v>160</v>
      </c>
      <c r="J4" s="431" t="s">
        <v>183</v>
      </c>
      <c r="K4" s="426" t="s">
        <v>162</v>
      </c>
      <c r="L4" s="427" t="s">
        <v>184</v>
      </c>
      <c r="M4" s="432" t="s">
        <v>160</v>
      </c>
      <c r="N4" s="433"/>
      <c r="O4" s="421"/>
      <c r="P4" s="434" t="s">
        <v>162</v>
      </c>
      <c r="Q4" s="423"/>
    </row>
    <row r="5" customFormat="false" ht="21" hidden="false" customHeight="true" outlineLevel="0" collapsed="false">
      <c r="A5" s="435" t="s">
        <v>185</v>
      </c>
      <c r="B5" s="425" t="str">
        <f aca="false">'12.lan'!D269</f>
        <v>B - Mining and quarrying</v>
      </c>
      <c r="C5" s="436"/>
      <c r="D5" s="437"/>
      <c r="E5" s="438" t="s">
        <v>162</v>
      </c>
      <c r="F5" s="437"/>
      <c r="G5" s="439"/>
      <c r="H5" s="439"/>
      <c r="I5" s="440" t="s">
        <v>160</v>
      </c>
      <c r="J5" s="441"/>
      <c r="K5" s="436" t="s">
        <v>162</v>
      </c>
      <c r="L5" s="437" t="s">
        <v>186</v>
      </c>
      <c r="M5" s="442" t="s">
        <v>162</v>
      </c>
      <c r="N5" s="441"/>
      <c r="O5" s="421"/>
      <c r="P5" s="434" t="s">
        <v>162</v>
      </c>
      <c r="Q5" s="423"/>
    </row>
    <row r="6" customFormat="false" ht="20.1" hidden="false" customHeight="true" outlineLevel="0" collapsed="false">
      <c r="A6" s="435" t="s">
        <v>187</v>
      </c>
      <c r="B6" s="425" t="str">
        <f aca="false">'12.lan'!D270</f>
        <v>C - Manufacturing industries (not further specified)</v>
      </c>
      <c r="C6" s="436"/>
      <c r="D6" s="443"/>
      <c r="E6" s="444" t="s">
        <v>161</v>
      </c>
      <c r="F6" s="443"/>
      <c r="G6" s="445"/>
      <c r="H6" s="445"/>
      <c r="I6" s="440" t="s">
        <v>160</v>
      </c>
      <c r="J6" s="441"/>
      <c r="K6" s="436" t="s">
        <v>161</v>
      </c>
      <c r="L6" s="443" t="s">
        <v>188</v>
      </c>
      <c r="M6" s="442" t="s">
        <v>161</v>
      </c>
      <c r="N6" s="441"/>
      <c r="O6" s="421"/>
      <c r="P6" s="434" t="s">
        <v>161</v>
      </c>
      <c r="Q6" s="423"/>
    </row>
    <row r="7" customFormat="false" ht="9.75" hidden="false" customHeight="true" outlineLevel="0" collapsed="false">
      <c r="A7" s="435" t="s">
        <v>189</v>
      </c>
      <c r="B7" s="425" t="str">
        <f aca="false">'12.lan'!D271</f>
        <v>Ca - Food production, drinks and tobacco (C10, C11, C12)</v>
      </c>
      <c r="C7" s="436"/>
      <c r="D7" s="446"/>
      <c r="E7" s="447" t="s">
        <v>162</v>
      </c>
      <c r="F7" s="446"/>
      <c r="G7" s="448"/>
      <c r="H7" s="448"/>
      <c r="I7" s="440" t="s">
        <v>160</v>
      </c>
      <c r="J7" s="441"/>
      <c r="K7" s="436" t="s">
        <v>160</v>
      </c>
      <c r="L7" s="446"/>
      <c r="M7" s="442" t="s">
        <v>160</v>
      </c>
      <c r="N7" s="441"/>
      <c r="O7" s="421"/>
      <c r="P7" s="434" t="s">
        <v>162</v>
      </c>
      <c r="Q7" s="423"/>
    </row>
    <row r="8" customFormat="false" ht="9.75" hidden="false" customHeight="true" outlineLevel="0" collapsed="false">
      <c r="A8" s="435" t="s">
        <v>190</v>
      </c>
      <c r="B8" s="425" t="str">
        <f aca="false">'12.lan'!D272</f>
        <v>Cb - Textile production, clothing, leather and leather products (C13, C14, C15)</v>
      </c>
      <c r="C8" s="436"/>
      <c r="D8" s="446"/>
      <c r="E8" s="447" t="s">
        <v>162</v>
      </c>
      <c r="F8" s="446"/>
      <c r="G8" s="448"/>
      <c r="H8" s="448"/>
      <c r="I8" s="440" t="s">
        <v>160</v>
      </c>
      <c r="J8" s="441"/>
      <c r="K8" s="436" t="s">
        <v>161</v>
      </c>
      <c r="L8" s="446"/>
      <c r="M8" s="442" t="s">
        <v>160</v>
      </c>
      <c r="N8" s="441"/>
      <c r="O8" s="421"/>
      <c r="P8" s="434" t="s">
        <v>162</v>
      </c>
      <c r="Q8" s="423"/>
    </row>
    <row r="9" customFormat="false" ht="9.75" hidden="false" customHeight="true" outlineLevel="0" collapsed="false">
      <c r="A9" s="435" t="s">
        <v>191</v>
      </c>
      <c r="B9" s="425" t="str">
        <f aca="false">'12.lan'!D273</f>
        <v>Cc - Paper and forest products, also printed matter (C16, C17, C18)</v>
      </c>
      <c r="C9" s="436"/>
      <c r="D9" s="446"/>
      <c r="E9" s="447" t="s">
        <v>161</v>
      </c>
      <c r="F9" s="446"/>
      <c r="G9" s="448"/>
      <c r="H9" s="448"/>
      <c r="I9" s="440" t="s">
        <v>160</v>
      </c>
      <c r="J9" s="441"/>
      <c r="K9" s="436" t="s">
        <v>161</v>
      </c>
      <c r="L9" s="446"/>
      <c r="M9" s="442" t="s">
        <v>160</v>
      </c>
      <c r="N9" s="441"/>
      <c r="O9" s="421"/>
      <c r="P9" s="434" t="s">
        <v>162</v>
      </c>
      <c r="Q9" s="423"/>
    </row>
    <row r="10" customFormat="false" ht="9.75" hidden="false" customHeight="true" outlineLevel="0" collapsed="false">
      <c r="A10" s="435" t="s">
        <v>192</v>
      </c>
      <c r="B10" s="425" t="str">
        <f aca="false">'12.lan'!D274</f>
        <v>Cd - Production of petrochemical products and plastics (C19, C20;C22)</v>
      </c>
      <c r="C10" s="436"/>
      <c r="D10" s="446"/>
      <c r="E10" s="447" t="s">
        <v>162</v>
      </c>
      <c r="F10" s="446"/>
      <c r="G10" s="448"/>
      <c r="H10" s="448"/>
      <c r="I10" s="440" t="s">
        <v>160</v>
      </c>
      <c r="J10" s="441"/>
      <c r="K10" s="436" t="s">
        <v>161</v>
      </c>
      <c r="L10" s="446"/>
      <c r="M10" s="442" t="s">
        <v>161</v>
      </c>
      <c r="N10" s="441"/>
      <c r="O10" s="421"/>
      <c r="P10" s="434" t="s">
        <v>162</v>
      </c>
      <c r="Q10" s="423"/>
    </row>
    <row r="11" customFormat="false" ht="20.1" hidden="false" customHeight="true" outlineLevel="0" collapsed="false">
      <c r="A11" s="435" t="s">
        <v>193</v>
      </c>
      <c r="B11" s="425" t="str">
        <f aca="false">'12.lan'!D275</f>
        <v>Ce - Pharmaceutical products and preparations (C21)</v>
      </c>
      <c r="C11" s="436"/>
      <c r="D11" s="446"/>
      <c r="E11" s="447" t="s">
        <v>160</v>
      </c>
      <c r="F11" s="446"/>
      <c r="G11" s="448"/>
      <c r="H11" s="448"/>
      <c r="I11" s="440" t="s">
        <v>161</v>
      </c>
      <c r="J11" s="449" t="s">
        <v>194</v>
      </c>
      <c r="K11" s="436" t="s">
        <v>161</v>
      </c>
      <c r="L11" s="446"/>
      <c r="M11" s="442" t="s">
        <v>161</v>
      </c>
      <c r="N11" s="441"/>
      <c r="O11" s="421"/>
      <c r="P11" s="434" t="s">
        <v>161</v>
      </c>
      <c r="Q11" s="423"/>
    </row>
    <row r="12" customFormat="false" ht="9.75" hidden="false" customHeight="true" outlineLevel="0" collapsed="false">
      <c r="A12" s="435" t="s">
        <v>195</v>
      </c>
      <c r="B12" s="425" t="str">
        <f aca="false">'12.lan'!D276</f>
        <v>Cf - Production of non-metallic minerals (C23)</v>
      </c>
      <c r="C12" s="436"/>
      <c r="D12" s="446"/>
      <c r="E12" s="447" t="s">
        <v>161</v>
      </c>
      <c r="F12" s="446"/>
      <c r="G12" s="448"/>
      <c r="H12" s="448"/>
      <c r="I12" s="440" t="s">
        <v>160</v>
      </c>
      <c r="J12" s="449"/>
      <c r="K12" s="436" t="s">
        <v>161</v>
      </c>
      <c r="L12" s="446"/>
      <c r="M12" s="442" t="s">
        <v>161</v>
      </c>
      <c r="N12" s="441"/>
      <c r="O12" s="421"/>
      <c r="P12" s="434" t="s">
        <v>161</v>
      </c>
      <c r="Q12" s="423"/>
    </row>
    <row r="13" customFormat="false" ht="9.75" hidden="false" customHeight="true" outlineLevel="0" collapsed="false">
      <c r="A13" s="435" t="s">
        <v>196</v>
      </c>
      <c r="B13" s="425" t="str">
        <f aca="false">'12.lan'!D277</f>
        <v>Cg - Production of metal and metallic products (excl. machines and equipment) (C24, C25)</v>
      </c>
      <c r="C13" s="436"/>
      <c r="D13" s="446"/>
      <c r="E13" s="447" t="s">
        <v>162</v>
      </c>
      <c r="F13" s="446"/>
      <c r="G13" s="448"/>
      <c r="H13" s="448"/>
      <c r="I13" s="440" t="s">
        <v>160</v>
      </c>
      <c r="J13" s="449"/>
      <c r="K13" s="436" t="s">
        <v>161</v>
      </c>
      <c r="L13" s="446"/>
      <c r="M13" s="442" t="s">
        <v>161</v>
      </c>
      <c r="N13" s="441"/>
      <c r="O13" s="421"/>
      <c r="P13" s="434" t="s">
        <v>162</v>
      </c>
      <c r="Q13" s="423"/>
    </row>
    <row r="14" customFormat="false" ht="9.75" hidden="false" customHeight="true" outlineLevel="0" collapsed="false">
      <c r="A14" s="435" t="s">
        <v>197</v>
      </c>
      <c r="B14" s="425" t="str">
        <f aca="false">'12.lan'!D278</f>
        <v>Ch - Production of electronic equipment, instruments and components as well as computers (C26, C27, C28)</v>
      </c>
      <c r="C14" s="436"/>
      <c r="D14" s="446"/>
      <c r="E14" s="447" t="s">
        <v>162</v>
      </c>
      <c r="F14" s="446"/>
      <c r="G14" s="448"/>
      <c r="H14" s="448"/>
      <c r="I14" s="440" t="s">
        <v>161</v>
      </c>
      <c r="J14" s="449"/>
      <c r="K14" s="436" t="s">
        <v>161</v>
      </c>
      <c r="L14" s="446"/>
      <c r="M14" s="442" t="s">
        <v>161</v>
      </c>
      <c r="N14" s="441"/>
      <c r="O14" s="421"/>
      <c r="P14" s="434" t="s">
        <v>162</v>
      </c>
      <c r="Q14" s="423"/>
    </row>
    <row r="15" customFormat="false" ht="20.1" hidden="false" customHeight="true" outlineLevel="0" collapsed="false">
      <c r="A15" s="435" t="s">
        <v>198</v>
      </c>
      <c r="B15" s="425" t="str">
        <f aca="false">'12.lan'!D279</f>
        <v>D - Electric, Gas, Steam and Refrigeration</v>
      </c>
      <c r="C15" s="436"/>
      <c r="D15" s="450"/>
      <c r="E15" s="451" t="s">
        <v>160</v>
      </c>
      <c r="F15" s="452"/>
      <c r="G15" s="453"/>
      <c r="H15" s="453"/>
      <c r="I15" s="440" t="s">
        <v>160</v>
      </c>
      <c r="J15" s="441"/>
      <c r="K15" s="436" t="s">
        <v>162</v>
      </c>
      <c r="L15" s="450" t="s">
        <v>199</v>
      </c>
      <c r="M15" s="442" t="s">
        <v>161</v>
      </c>
      <c r="N15" s="441"/>
      <c r="O15" s="421"/>
      <c r="P15" s="434" t="s">
        <v>162</v>
      </c>
      <c r="Q15" s="423"/>
    </row>
    <row r="16" customFormat="false" ht="20.1" hidden="false" customHeight="true" outlineLevel="0" collapsed="false">
      <c r="A16" s="435" t="s">
        <v>200</v>
      </c>
      <c r="B16" s="425" t="str">
        <f aca="false">'12.lan'!D280</f>
        <v>E - Water supply, waste management</v>
      </c>
      <c r="C16" s="436"/>
      <c r="D16" s="437"/>
      <c r="E16" s="438" t="s">
        <v>160</v>
      </c>
      <c r="F16" s="437"/>
      <c r="G16" s="439"/>
      <c r="H16" s="439"/>
      <c r="I16" s="440" t="s">
        <v>161</v>
      </c>
      <c r="J16" s="441"/>
      <c r="K16" s="436" t="s">
        <v>161</v>
      </c>
      <c r="L16" s="437"/>
      <c r="M16" s="442" t="s">
        <v>161</v>
      </c>
      <c r="N16" s="441"/>
      <c r="O16" s="421"/>
      <c r="P16" s="434" t="s">
        <v>160</v>
      </c>
      <c r="Q16" s="423"/>
    </row>
    <row r="17" customFormat="false" ht="39.75" hidden="false" customHeight="true" outlineLevel="0" collapsed="false">
      <c r="A17" s="435" t="s">
        <v>201</v>
      </c>
      <c r="B17" s="425" t="str">
        <f aca="false">'12.lan'!D281</f>
        <v>F - Construction industry</v>
      </c>
      <c r="C17" s="436"/>
      <c r="D17" s="437"/>
      <c r="E17" s="438" t="s">
        <v>162</v>
      </c>
      <c r="F17" s="437"/>
      <c r="G17" s="439"/>
      <c r="H17" s="439"/>
      <c r="I17" s="440" t="s">
        <v>162</v>
      </c>
      <c r="J17" s="441"/>
      <c r="K17" s="436" t="s">
        <v>162</v>
      </c>
      <c r="L17" s="437" t="s">
        <v>202</v>
      </c>
      <c r="M17" s="442" t="s">
        <v>162</v>
      </c>
      <c r="N17" s="441"/>
      <c r="O17" s="421"/>
      <c r="P17" s="434" t="s">
        <v>162</v>
      </c>
      <c r="Q17" s="423"/>
    </row>
    <row r="18" customFormat="false" ht="9.75" hidden="false" customHeight="true" outlineLevel="0" collapsed="false">
      <c r="A18" s="435" t="s">
        <v>203</v>
      </c>
      <c r="B18" s="425" t="str">
        <f aca="false">'12.lan'!D282</f>
        <v>G - Wholesale and retail</v>
      </c>
      <c r="C18" s="436"/>
      <c r="D18" s="437"/>
      <c r="E18" s="438" t="s">
        <v>160</v>
      </c>
      <c r="F18" s="437"/>
      <c r="G18" s="439"/>
      <c r="H18" s="439"/>
      <c r="I18" s="440" t="s">
        <v>162</v>
      </c>
      <c r="J18" s="441"/>
      <c r="K18" s="436" t="s">
        <v>160</v>
      </c>
      <c r="L18" s="437"/>
      <c r="M18" s="442" t="s">
        <v>160</v>
      </c>
      <c r="N18" s="441"/>
      <c r="O18" s="421"/>
      <c r="P18" s="434" t="s">
        <v>161</v>
      </c>
      <c r="Q18" s="423"/>
    </row>
    <row r="19" customFormat="false" ht="9.75" hidden="false" customHeight="true" outlineLevel="0" collapsed="false">
      <c r="A19" s="435" t="s">
        <v>204</v>
      </c>
      <c r="B19" s="425" t="str">
        <f aca="false">'12.lan'!D283</f>
        <v>H - Transport and warehousing</v>
      </c>
      <c r="C19" s="436"/>
      <c r="D19" s="437"/>
      <c r="E19" s="438" t="s">
        <v>160</v>
      </c>
      <c r="F19" s="437"/>
      <c r="G19" s="439"/>
      <c r="H19" s="439"/>
      <c r="I19" s="440" t="s">
        <v>160</v>
      </c>
      <c r="J19" s="441"/>
      <c r="K19" s="436" t="s">
        <v>162</v>
      </c>
      <c r="L19" s="437"/>
      <c r="M19" s="442" t="s">
        <v>160</v>
      </c>
      <c r="N19" s="441"/>
      <c r="O19" s="421"/>
      <c r="P19" s="434" t="s">
        <v>161</v>
      </c>
      <c r="Q19" s="423"/>
    </row>
    <row r="20" customFormat="false" ht="9.75" hidden="false" customHeight="true" outlineLevel="0" collapsed="false">
      <c r="A20" s="435" t="s">
        <v>205</v>
      </c>
      <c r="B20" s="425" t="str">
        <f aca="false">'12.lan'!D284</f>
        <v>I - Accommodation and catering</v>
      </c>
      <c r="C20" s="436"/>
      <c r="D20" s="437"/>
      <c r="E20" s="438" t="s">
        <v>161</v>
      </c>
      <c r="F20" s="437"/>
      <c r="G20" s="439"/>
      <c r="H20" s="439"/>
      <c r="I20" s="440" t="s">
        <v>160</v>
      </c>
      <c r="J20" s="441"/>
      <c r="K20" s="436" t="s">
        <v>161</v>
      </c>
      <c r="L20" s="437"/>
      <c r="M20" s="442" t="s">
        <v>160</v>
      </c>
      <c r="N20" s="441"/>
      <c r="O20" s="421"/>
      <c r="P20" s="434" t="s">
        <v>161</v>
      </c>
      <c r="Q20" s="423"/>
    </row>
    <row r="21" customFormat="false" ht="9.75" hidden="false" customHeight="true" outlineLevel="0" collapsed="false">
      <c r="A21" s="435" t="s">
        <v>206</v>
      </c>
      <c r="B21" s="425" t="str">
        <f aca="false">'12.lan'!D285</f>
        <v>J - Information and Communication</v>
      </c>
      <c r="C21" s="436"/>
      <c r="D21" s="437"/>
      <c r="E21" s="438" t="s">
        <v>160</v>
      </c>
      <c r="F21" s="437"/>
      <c r="G21" s="439"/>
      <c r="H21" s="439"/>
      <c r="I21" s="440" t="s">
        <v>160</v>
      </c>
      <c r="J21" s="441"/>
      <c r="K21" s="436" t="s">
        <v>161</v>
      </c>
      <c r="L21" s="437"/>
      <c r="M21" s="442" t="s">
        <v>160</v>
      </c>
      <c r="N21" s="441"/>
      <c r="O21" s="421"/>
      <c r="P21" s="434" t="s">
        <v>161</v>
      </c>
      <c r="Q21" s="423"/>
    </row>
    <row r="22" customFormat="false" ht="9.75" hidden="false" customHeight="true" outlineLevel="0" collapsed="false">
      <c r="A22" s="435" t="s">
        <v>207</v>
      </c>
      <c r="B22" s="425" t="str">
        <f aca="false">'12.lan'!D286</f>
        <v>K - Financial services</v>
      </c>
      <c r="C22" s="436"/>
      <c r="D22" s="437"/>
      <c r="E22" s="438" t="s">
        <v>160</v>
      </c>
      <c r="F22" s="437"/>
      <c r="G22" s="439"/>
      <c r="H22" s="439"/>
      <c r="I22" s="440" t="s">
        <v>162</v>
      </c>
      <c r="J22" s="441"/>
      <c r="K22" s="436" t="s">
        <v>160</v>
      </c>
      <c r="L22" s="437"/>
      <c r="M22" s="442" t="s">
        <v>160</v>
      </c>
      <c r="N22" s="441"/>
      <c r="O22" s="421"/>
      <c r="P22" s="434" t="s">
        <v>160</v>
      </c>
      <c r="Q22" s="423"/>
    </row>
    <row r="23" customFormat="false" ht="9.75" hidden="false" customHeight="true" outlineLevel="0" collapsed="false">
      <c r="A23" s="435" t="s">
        <v>208</v>
      </c>
      <c r="B23" s="425" t="str">
        <f aca="false">'12.lan'!D287</f>
        <v>L - Real estate</v>
      </c>
      <c r="C23" s="436"/>
      <c r="D23" s="437"/>
      <c r="E23" s="438" t="s">
        <v>160</v>
      </c>
      <c r="F23" s="437"/>
      <c r="G23" s="439"/>
      <c r="H23" s="439"/>
      <c r="I23" s="440" t="s">
        <v>162</v>
      </c>
      <c r="J23" s="441"/>
      <c r="K23" s="436" t="s">
        <v>160</v>
      </c>
      <c r="L23" s="437"/>
      <c r="M23" s="442" t="s">
        <v>160</v>
      </c>
      <c r="N23" s="441"/>
      <c r="O23" s="421"/>
      <c r="P23" s="434" t="s">
        <v>161</v>
      </c>
      <c r="Q23" s="423"/>
    </row>
    <row r="24" customFormat="false" ht="9.75" hidden="false" customHeight="true" outlineLevel="0" collapsed="false">
      <c r="A24" s="435" t="s">
        <v>209</v>
      </c>
      <c r="B24" s="425" t="str">
        <f aca="false">'12.lan'!D288</f>
        <v>M - Professional, technical and scientific services</v>
      </c>
      <c r="C24" s="436"/>
      <c r="D24" s="437"/>
      <c r="E24" s="438" t="s">
        <v>160</v>
      </c>
      <c r="F24" s="437"/>
      <c r="G24" s="439"/>
      <c r="H24" s="439"/>
      <c r="I24" s="440" t="s">
        <v>160</v>
      </c>
      <c r="J24" s="441"/>
      <c r="K24" s="436" t="s">
        <v>160</v>
      </c>
      <c r="L24" s="437"/>
      <c r="M24" s="442" t="s">
        <v>160</v>
      </c>
      <c r="N24" s="441"/>
      <c r="O24" s="421"/>
      <c r="P24" s="434" t="s">
        <v>160</v>
      </c>
      <c r="Q24" s="423"/>
    </row>
    <row r="25" customFormat="false" ht="9.75" hidden="false" customHeight="true" outlineLevel="0" collapsed="false">
      <c r="A25" s="435" t="s">
        <v>210</v>
      </c>
      <c r="B25" s="425" t="str">
        <f aca="false">'12.lan'!D289</f>
        <v>N - Administrative and support services</v>
      </c>
      <c r="C25" s="436"/>
      <c r="D25" s="437"/>
      <c r="E25" s="438" t="s">
        <v>160</v>
      </c>
      <c r="F25" s="437"/>
      <c r="G25" s="439"/>
      <c r="H25" s="439"/>
      <c r="I25" s="440" t="s">
        <v>160</v>
      </c>
      <c r="J25" s="441"/>
      <c r="K25" s="436" t="s">
        <v>160</v>
      </c>
      <c r="L25" s="437"/>
      <c r="M25" s="442" t="s">
        <v>160</v>
      </c>
      <c r="N25" s="441"/>
      <c r="O25" s="421"/>
      <c r="P25" s="434" t="s">
        <v>160</v>
      </c>
      <c r="Q25" s="423"/>
    </row>
    <row r="26" customFormat="false" ht="11.25" hidden="false" customHeight="true" outlineLevel="0" collapsed="false">
      <c r="A26" s="435" t="s">
        <v>211</v>
      </c>
      <c r="B26" s="425" t="str">
        <f aca="false">'12.lan'!D290</f>
        <v>O - Public administration; defence; social security</v>
      </c>
      <c r="C26" s="436"/>
      <c r="D26" s="437"/>
      <c r="E26" s="438" t="s">
        <v>160</v>
      </c>
      <c r="F26" s="437"/>
      <c r="G26" s="439"/>
      <c r="H26" s="439"/>
      <c r="I26" s="440" t="s">
        <v>160</v>
      </c>
      <c r="J26" s="441"/>
      <c r="K26" s="436" t="s">
        <v>160</v>
      </c>
      <c r="L26" s="437"/>
      <c r="M26" s="442" t="s">
        <v>160</v>
      </c>
      <c r="N26" s="441"/>
      <c r="O26" s="421"/>
      <c r="P26" s="434" t="s">
        <v>160</v>
      </c>
      <c r="Q26" s="423"/>
    </row>
    <row r="27" customFormat="false" ht="9.75" hidden="false" customHeight="true" outlineLevel="0" collapsed="false">
      <c r="A27" s="435" t="s">
        <v>212</v>
      </c>
      <c r="B27" s="425" t="str">
        <f aca="false">'12.lan'!D291</f>
        <v>P - Education</v>
      </c>
      <c r="C27" s="436"/>
      <c r="D27" s="437"/>
      <c r="E27" s="438" t="s">
        <v>160</v>
      </c>
      <c r="F27" s="437"/>
      <c r="G27" s="439"/>
      <c r="H27" s="439"/>
      <c r="I27" s="440" t="s">
        <v>160</v>
      </c>
      <c r="J27" s="441"/>
      <c r="K27" s="436" t="s">
        <v>160</v>
      </c>
      <c r="L27" s="437"/>
      <c r="M27" s="442" t="s">
        <v>160</v>
      </c>
      <c r="N27" s="441"/>
      <c r="O27" s="421"/>
      <c r="P27" s="434" t="s">
        <v>160</v>
      </c>
      <c r="Q27" s="423"/>
    </row>
    <row r="28" customFormat="false" ht="9.75" hidden="false" customHeight="true" outlineLevel="0" collapsed="false">
      <c r="A28" s="435" t="s">
        <v>213</v>
      </c>
      <c r="B28" s="425" t="str">
        <f aca="false">'12.lan'!D292</f>
        <v>Q - Health and social work</v>
      </c>
      <c r="C28" s="436"/>
      <c r="D28" s="437"/>
      <c r="E28" s="438" t="s">
        <v>160</v>
      </c>
      <c r="F28" s="437"/>
      <c r="G28" s="439"/>
      <c r="H28" s="439"/>
      <c r="I28" s="440" t="s">
        <v>160</v>
      </c>
      <c r="J28" s="441"/>
      <c r="K28" s="436" t="s">
        <v>160</v>
      </c>
      <c r="L28" s="437"/>
      <c r="M28" s="442" t="s">
        <v>160</v>
      </c>
      <c r="N28" s="441"/>
      <c r="O28" s="421"/>
      <c r="P28" s="434" t="s">
        <v>160</v>
      </c>
      <c r="Q28" s="423"/>
    </row>
    <row r="29" customFormat="false" ht="9.75" hidden="false" customHeight="true" outlineLevel="0" collapsed="false">
      <c r="A29" s="435" t="s">
        <v>214</v>
      </c>
      <c r="B29" s="425" t="str">
        <f aca="false">'12.lan'!D293</f>
        <v>R - Art, education and leisure</v>
      </c>
      <c r="C29" s="436"/>
      <c r="D29" s="437"/>
      <c r="E29" s="438" t="s">
        <v>160</v>
      </c>
      <c r="F29" s="437"/>
      <c r="G29" s="439"/>
      <c r="H29" s="439"/>
      <c r="I29" s="440" t="s">
        <v>160</v>
      </c>
      <c r="J29" s="441"/>
      <c r="K29" s="436" t="s">
        <v>160</v>
      </c>
      <c r="L29" s="437"/>
      <c r="M29" s="442" t="s">
        <v>160</v>
      </c>
      <c r="N29" s="441"/>
      <c r="O29" s="421"/>
      <c r="P29" s="434" t="s">
        <v>160</v>
      </c>
      <c r="Q29" s="423"/>
    </row>
    <row r="30" customFormat="false" ht="9.75" hidden="false" customHeight="true" outlineLevel="0" collapsed="false">
      <c r="A30" s="435" t="s">
        <v>215</v>
      </c>
      <c r="B30" s="425" t="str">
        <f aca="false">'12.lan'!D294</f>
        <v>S - Other services</v>
      </c>
      <c r="C30" s="436"/>
      <c r="D30" s="437"/>
      <c r="E30" s="438" t="s">
        <v>160</v>
      </c>
      <c r="F30" s="437"/>
      <c r="G30" s="439"/>
      <c r="H30" s="439"/>
      <c r="I30" s="440" t="s">
        <v>160</v>
      </c>
      <c r="J30" s="441"/>
      <c r="K30" s="436" t="s">
        <v>160</v>
      </c>
      <c r="L30" s="437"/>
      <c r="M30" s="442" t="s">
        <v>160</v>
      </c>
      <c r="N30" s="441"/>
      <c r="O30" s="421"/>
      <c r="P30" s="434" t="s">
        <v>160</v>
      </c>
      <c r="Q30" s="423"/>
    </row>
    <row r="31" customFormat="false" ht="11.25" hidden="false" customHeight="true" outlineLevel="0" collapsed="false">
      <c r="A31" s="435" t="s">
        <v>216</v>
      </c>
      <c r="B31" s="425" t="str">
        <f aca="false">'12.lan'!D295</f>
        <v>Please enter</v>
      </c>
      <c r="C31" s="436"/>
      <c r="D31" s="437"/>
      <c r="E31" s="438" t="s">
        <v>160</v>
      </c>
      <c r="F31" s="437"/>
      <c r="G31" s="439"/>
      <c r="H31" s="439"/>
      <c r="I31" s="440" t="s">
        <v>160</v>
      </c>
      <c r="J31" s="441"/>
      <c r="K31" s="436" t="s">
        <v>160</v>
      </c>
      <c r="L31" s="437"/>
      <c r="M31" s="442" t="s">
        <v>160</v>
      </c>
      <c r="N31" s="441"/>
      <c r="O31" s="454"/>
      <c r="P31" s="455" t="s">
        <v>160</v>
      </c>
      <c r="Q31" s="456"/>
    </row>
    <row r="32" customFormat="false" ht="12" hidden="false" customHeight="true" outlineLevel="0" collapsed="false">
      <c r="A32" s="457" t="s">
        <v>217</v>
      </c>
      <c r="B32" s="425" t="str">
        <f aca="false">'12.lan'!D296</f>
        <v>U - Extraterritorial organisations and bodies</v>
      </c>
      <c r="C32" s="436"/>
      <c r="D32" s="437"/>
      <c r="E32" s="438" t="s">
        <v>160</v>
      </c>
      <c r="F32" s="437"/>
      <c r="G32" s="439"/>
      <c r="H32" s="439"/>
      <c r="I32" s="440" t="s">
        <v>160</v>
      </c>
      <c r="J32" s="441"/>
      <c r="K32" s="436" t="s">
        <v>160</v>
      </c>
      <c r="L32" s="437"/>
      <c r="M32" s="442" t="s">
        <v>160</v>
      </c>
      <c r="N32" s="441"/>
      <c r="O32" s="454"/>
      <c r="P32" s="455" t="s">
        <v>160</v>
      </c>
      <c r="Q32" s="456"/>
    </row>
    <row r="34" customFormat="false" ht="9.75" hidden="false" customHeight="true" outlineLevel="0" collapsed="false">
      <c r="A34" s="458" t="str">
        <f aca="false">'9. Weighting'!H35</f>
        <v>Pl</v>
      </c>
      <c r="B34" s="459" t="s">
        <v>218</v>
      </c>
      <c r="C34" s="460" t="n">
        <f aca="false">'9. Weighting'!I35</f>
        <v>0</v>
      </c>
      <c r="D34" s="459"/>
      <c r="E34" s="459"/>
      <c r="F34" s="459"/>
      <c r="G34" s="459"/>
      <c r="H34" s="459"/>
      <c r="I34" s="461" t="str">
        <f aca="false">IFERROR(VLOOKUP(A34,'10. Industry'!$A$4:$O$32,9,FALSE()),"mittel")</f>
        <v>mittel</v>
      </c>
      <c r="J34" s="462" t="n">
        <f aca="false">VLOOKUP(I34,'9. Weighting'!$F$49:$H$53,3,FALSE())</f>
        <v>1</v>
      </c>
      <c r="K34" s="461" t="str">
        <f aca="false">IFERROR(VLOOKUP(A34,'10. Industry'!$A$4:$O$32,11,FALSE()),"mittel")</f>
        <v>mittel</v>
      </c>
      <c r="L34" s="463" t="n">
        <f aca="false">VLOOKUP(K34,'9. Weighting'!$F$49:$H$53,3,FALSE())</f>
        <v>1</v>
      </c>
    </row>
    <row r="35" customFormat="false" ht="9.75" hidden="false" customHeight="true" outlineLevel="0" collapsed="false">
      <c r="A35" s="464" t="str">
        <f aca="false">'9. Weighting'!H36</f>
        <v>Pl</v>
      </c>
      <c r="B35" s="465" t="s">
        <v>219</v>
      </c>
      <c r="C35" s="466" t="n">
        <f aca="false">'9. Weighting'!I36</f>
        <v>0</v>
      </c>
      <c r="D35" s="465"/>
      <c r="E35" s="465"/>
      <c r="F35" s="465"/>
      <c r="G35" s="465"/>
      <c r="H35" s="465"/>
      <c r="I35" s="467" t="str">
        <f aca="false">IFERROR(VLOOKUP(A35,'10. Industry'!$A$4:$O$32,9,FALSE()),"mittel")</f>
        <v>mittel</v>
      </c>
      <c r="J35" s="468" t="n">
        <f aca="false">VLOOKUP(I35,'9. Weighting'!$F$49:$H$53,3,FALSE())</f>
        <v>1</v>
      </c>
      <c r="K35" s="467" t="str">
        <f aca="false">IFERROR(VLOOKUP(A35,'10. Industry'!$A$4:$O$32,11,FALSE()),"mittel")</f>
        <v>mittel</v>
      </c>
      <c r="L35" s="469" t="n">
        <f aca="false">VLOOKUP(K35,'9. Weighting'!$F$49:$H$53,3,FALSE())</f>
        <v>1</v>
      </c>
    </row>
    <row r="36" customFormat="false" ht="9.75" hidden="false" customHeight="true" outlineLevel="0" collapsed="false">
      <c r="A36" s="464" t="str">
        <f aca="false">'9. Weighting'!H37</f>
        <v>Pl</v>
      </c>
      <c r="B36" s="465" t="s">
        <v>220</v>
      </c>
      <c r="C36" s="466" t="n">
        <f aca="false">'9. Weighting'!I37</f>
        <v>0</v>
      </c>
      <c r="D36" s="465"/>
      <c r="E36" s="465"/>
      <c r="F36" s="465"/>
      <c r="G36" s="465"/>
      <c r="H36" s="465"/>
      <c r="I36" s="467" t="str">
        <f aca="false">IFERROR(VLOOKUP(A36,'10. Industry'!$A$4:$O$32,9,FALSE()),"mittel")</f>
        <v>mittel</v>
      </c>
      <c r="J36" s="468" t="n">
        <f aca="false">VLOOKUP(I36,'9. Weighting'!$F$49:$H$53,3,FALSE())</f>
        <v>1</v>
      </c>
      <c r="K36" s="467" t="str">
        <f aca="false">IFERROR(VLOOKUP(A36,'10. Industry'!$A$4:$O$32,11,FALSE()),"mittel")</f>
        <v>mittel</v>
      </c>
      <c r="L36" s="469" t="n">
        <f aca="false">VLOOKUP(K36,'9. Weighting'!$F$49:$H$53,3,FALSE())</f>
        <v>1</v>
      </c>
    </row>
    <row r="37" customFormat="false" ht="9.75" hidden="false" customHeight="true" outlineLevel="0" collapsed="false">
      <c r="A37" s="464"/>
      <c r="B37" s="465"/>
      <c r="C37" s="470" t="n">
        <f aca="false">1-SUM(C34:C36)</f>
        <v>1</v>
      </c>
      <c r="D37" s="465"/>
      <c r="E37" s="465"/>
      <c r="F37" s="465"/>
      <c r="G37" s="465"/>
      <c r="H37" s="465"/>
      <c r="I37" s="467" t="s">
        <v>160</v>
      </c>
      <c r="J37" s="468" t="n">
        <f aca="false">VLOOKUP(I37,'9. Weighting'!$F$49:$H$53,3,FALSE())</f>
        <v>1</v>
      </c>
      <c r="K37" s="467" t="s">
        <v>160</v>
      </c>
      <c r="L37" s="469" t="n">
        <f aca="false">VLOOKUP(K37,'9. Weighting'!$F$49:$H$53,3,FALSE())</f>
        <v>1</v>
      </c>
    </row>
    <row r="38" customFormat="false" ht="9.75" hidden="false" customHeight="true" outlineLevel="0" collapsed="false">
      <c r="A38" s="464"/>
      <c r="B38" s="465"/>
      <c r="C38" s="470" t="n">
        <f aca="false">SUM(C34:C37)</f>
        <v>1</v>
      </c>
      <c r="D38" s="465"/>
      <c r="E38" s="465"/>
      <c r="F38" s="465"/>
      <c r="G38" s="465"/>
      <c r="H38" s="465"/>
      <c r="I38" s="467"/>
      <c r="J38" s="468" t="n">
        <f aca="false">C34*J34+C35*J35+C36*J36+C37*J37</f>
        <v>1</v>
      </c>
      <c r="K38" s="467"/>
      <c r="L38" s="469" t="n">
        <f aca="false">C34*L34+C35*L35+C36*L36+C37*L37</f>
        <v>1</v>
      </c>
    </row>
    <row r="39" customFormat="false" ht="9.75" hidden="false" customHeight="true" outlineLevel="0" collapsed="false">
      <c r="A39" s="471"/>
      <c r="B39" s="472" t="s">
        <v>221</v>
      </c>
      <c r="C39" s="473"/>
      <c r="D39" s="474"/>
      <c r="E39" s="474"/>
      <c r="F39" s="474"/>
      <c r="G39" s="474"/>
      <c r="H39" s="474"/>
      <c r="I39" s="473"/>
      <c r="J39" s="474" t="str">
        <f aca="false">IF(J38&lt;0.75,"niedrig",IF(J38&lt;1.25,"mittel",IF(J38&gt;1.75,"sehr hoch","hoch")))</f>
        <v>mittel</v>
      </c>
      <c r="K39" s="473"/>
      <c r="L39" s="475" t="str">
        <f aca="false">IF(L38&lt;0.75,"niedrig",IF(L38&lt;1.25,"mittel",IF(L38&gt;1.75,"sehr hoch","hoch")))</f>
        <v>mittel</v>
      </c>
    </row>
  </sheetData>
  <sheetProtection algorithmName="SHA-512" hashValue="eDRyrjSgDUaSxaqE+lWgpjMpDkEZMzDHL8eybJxcUHslRvx9aYvtfrE7WGawFuMYSImpYl81qYYZ5SZ52ayfTQ==" saltValue="bNxHYtWZZAAethOd/NAT4Q==" spinCount="100000" sheet="true" selectLockedCells="true" selectUnlockedCells="true"/>
  <mergeCells count="9">
    <mergeCell ref="A1:Q1"/>
    <mergeCell ref="C2:D2"/>
    <mergeCell ref="E2:F2"/>
    <mergeCell ref="G2:H2"/>
    <mergeCell ref="I2:J2"/>
    <mergeCell ref="K2:L2"/>
    <mergeCell ref="M2:N2"/>
    <mergeCell ref="O2:Q2"/>
    <mergeCell ref="R2:S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93"/>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pane xSplit="0" ySplit="1123" topLeftCell="A229" activePane="bottomLeft" state="split"/>
      <selection pane="topLeft" activeCell="A5" activeCellId="0" sqref="A5"/>
      <selection pane="bottomLeft" activeCell="H241" activeCellId="0" sqref="H241"/>
    </sheetView>
  </sheetViews>
  <sheetFormatPr defaultColWidth="10.30078125" defaultRowHeight="9.75" zeroHeight="false" outlineLevelRow="0" outlineLevelCol="0"/>
  <cols>
    <col collapsed="false" customWidth="true" hidden="false" outlineLevel="0" max="1" min="1" style="476" width="18"/>
    <col collapsed="false" customWidth="true" hidden="false" outlineLevel="0" max="3" min="2" style="477" width="16.29"/>
    <col collapsed="false" customWidth="true" hidden="false" outlineLevel="0" max="4" min="4" style="477" width="19.29"/>
    <col collapsed="false" customWidth="true" hidden="false" outlineLevel="0" max="5" min="5" style="477" width="22.28"/>
    <col collapsed="false" customWidth="true" hidden="false" outlineLevel="0" max="6" min="6" style="477" width="20.29"/>
    <col collapsed="false" customWidth="false" hidden="false" outlineLevel="0" max="7" min="7" style="477" width="10.29"/>
    <col collapsed="false" customWidth="false" hidden="false" outlineLevel="0" max="9" min="8" style="476" width="10.29"/>
    <col collapsed="false" customWidth="true" hidden="false" outlineLevel="0" max="10" min="10" style="476" width="10.85"/>
    <col collapsed="false" customWidth="false" hidden="false" outlineLevel="0" max="1024" min="11" style="476" width="10.29"/>
  </cols>
  <sheetData>
    <row r="1" customFormat="false" ht="27" hidden="false" customHeight="true" outlineLevel="0" collapsed="false">
      <c r="A1" s="478" t="s">
        <v>222</v>
      </c>
      <c r="B1" s="478"/>
      <c r="C1" s="478"/>
      <c r="D1" s="478"/>
      <c r="E1" s="478"/>
      <c r="F1" s="478"/>
      <c r="G1" s="478"/>
    </row>
    <row r="2" customFormat="false" ht="34.5" hidden="false" customHeight="true" outlineLevel="0" collapsed="false">
      <c r="A2" s="479"/>
      <c r="B2" s="480" t="s">
        <v>223</v>
      </c>
      <c r="C2" s="481" t="s">
        <v>224</v>
      </c>
      <c r="D2" s="481" t="s">
        <v>225</v>
      </c>
      <c r="E2" s="480" t="s">
        <v>226</v>
      </c>
      <c r="F2" s="480" t="s">
        <v>227</v>
      </c>
      <c r="G2" s="480" t="s">
        <v>228</v>
      </c>
      <c r="H2" s="482" t="s">
        <v>229</v>
      </c>
      <c r="I2" s="483" t="s">
        <v>230</v>
      </c>
      <c r="J2" s="484" t="s">
        <v>120</v>
      </c>
      <c r="K2" s="485" t="s">
        <v>231</v>
      </c>
      <c r="L2" s="486" t="s">
        <v>232</v>
      </c>
      <c r="M2" s="486"/>
      <c r="N2" s="486"/>
      <c r="O2" s="487" t="s">
        <v>233</v>
      </c>
      <c r="P2" s="487"/>
      <c r="Q2" s="487"/>
    </row>
    <row r="3" customFormat="false" ht="9.75" hidden="false" customHeight="true" outlineLevel="0" collapsed="false">
      <c r="A3" s="479" t="s">
        <v>234</v>
      </c>
      <c r="B3" s="488" t="n">
        <f aca="false">'9. Weighting'!I10</f>
        <v>10000</v>
      </c>
      <c r="C3" s="489" t="n">
        <f aca="false">'9. Weighting'!I13</f>
        <v>500</v>
      </c>
      <c r="D3" s="490" t="str">
        <f aca="false">'9. Weighting'!H13</f>
        <v>Please choose</v>
      </c>
      <c r="E3" s="491" t="n">
        <f aca="false">IFERROR(VLOOKUP(D3,$A$22:$G$400,3,FALSE()),$C$243)</f>
        <v>0.978035862587365</v>
      </c>
      <c r="F3" s="492" t="n">
        <f aca="false">IFERROR(C3*E3,"0")</f>
        <v>489.017931293682</v>
      </c>
      <c r="G3" s="493" t="n">
        <f aca="false">SUM(F3:F8)</f>
        <v>9780.35862587365</v>
      </c>
      <c r="H3" s="494" t="n">
        <f aca="false">IFERROR(F3/$G$3,"-")</f>
        <v>0.05</v>
      </c>
      <c r="I3" s="476" t="n">
        <f aca="false">IFERROR(VLOOKUP(D3,$A$21:$I$134,6,FALSE()),2.99)</f>
        <v>2.99</v>
      </c>
      <c r="J3" s="495" t="str">
        <f aca="false">'9. Weighting'!E13</f>
        <v>Pl</v>
      </c>
      <c r="K3" s="496" t="str">
        <f aca="false">'9. Weighting'!G13</f>
        <v>Please enter</v>
      </c>
      <c r="L3" s="496" t="n">
        <f aca="false">IFERROR(VLOOKUP(J3,'10. Industry'!$A$4:$P$32,16,FALSE()),'3. Calc'!C104)</f>
        <v>1</v>
      </c>
      <c r="M3" s="496" t="e">
        <f aca="false">VLOOKUP(L3,'9. Weighting'!$F$49:$H$53,3,FALSE())</f>
        <v>#N/A</v>
      </c>
      <c r="N3" s="497" t="e">
        <f aca="false">M3*H3</f>
        <v>#N/A</v>
      </c>
      <c r="O3" s="496" t="n">
        <f aca="false">IFERROR(VLOOKUP(J3,'10. Industry'!$A$4:$N$32,5,FALSE()),'3. Calc'!C104)</f>
        <v>1</v>
      </c>
      <c r="P3" s="496" t="e">
        <f aca="false">VLOOKUP(O3,'9. Weighting'!$F$49:$H$53,3,FALSE())</f>
        <v>#N/A</v>
      </c>
      <c r="Q3" s="498" t="e">
        <f aca="false">P3*H3</f>
        <v>#N/A</v>
      </c>
    </row>
    <row r="4" customFormat="false" ht="9.75" hidden="false" customHeight="true" outlineLevel="0" collapsed="false">
      <c r="A4" s="479" t="s">
        <v>235</v>
      </c>
      <c r="B4" s="488"/>
      <c r="C4" s="489" t="n">
        <f aca="false">'9. Weighting'!I14</f>
        <v>0</v>
      </c>
      <c r="D4" s="490" t="str">
        <f aca="false">'9. Weighting'!H14</f>
        <v>Please choose</v>
      </c>
      <c r="E4" s="491" t="n">
        <f aca="false">IFERROR(VLOOKUP(D4,$A$22:$G$400,3,FALSE()),$C$243)</f>
        <v>0.978035862587365</v>
      </c>
      <c r="F4" s="492" t="n">
        <f aca="false">IFERROR(C4*E4,"0")</f>
        <v>0</v>
      </c>
      <c r="G4" s="493"/>
      <c r="H4" s="494" t="n">
        <f aca="false">IFERROR(F4/$G$3,"-")</f>
        <v>0</v>
      </c>
      <c r="I4" s="476" t="n">
        <f aca="false">IFERROR(VLOOKUP(D4,$A$21:$I$134,6,FALSE()),2.99)</f>
        <v>2.99</v>
      </c>
      <c r="J4" s="495" t="str">
        <f aca="false">'9. Weighting'!E14</f>
        <v>Pl</v>
      </c>
      <c r="K4" s="496" t="str">
        <f aca="false">'9. Weighting'!G14</f>
        <v>Please enter</v>
      </c>
      <c r="L4" s="496" t="n">
        <f aca="false">IFERROR(VLOOKUP(J4,'10. Industry'!$A$4:$P$32,16,FALSE()),'3. Calc'!C104)</f>
        <v>1</v>
      </c>
      <c r="M4" s="496" t="e">
        <f aca="false">VLOOKUP(L4,'9. Weighting'!$F$49:$H$53,3,FALSE())</f>
        <v>#N/A</v>
      </c>
      <c r="N4" s="497" t="e">
        <f aca="false">M4*H4</f>
        <v>#N/A</v>
      </c>
      <c r="O4" s="496" t="n">
        <f aca="false">IFERROR(VLOOKUP(J4,'10. Industry'!$A$4:$N$32,5,FALSE()),'3. Calc'!C104)</f>
        <v>1</v>
      </c>
      <c r="P4" s="496" t="e">
        <f aca="false">VLOOKUP(O4,'9. Weighting'!$F$49:$H$53,3,FALSE())</f>
        <v>#N/A</v>
      </c>
      <c r="Q4" s="498" t="e">
        <f aca="false">P4*H4</f>
        <v>#N/A</v>
      </c>
    </row>
    <row r="5" customFormat="false" ht="9.75" hidden="false" customHeight="true" outlineLevel="0" collapsed="false">
      <c r="A5" s="479" t="s">
        <v>236</v>
      </c>
      <c r="B5" s="488"/>
      <c r="C5" s="489" t="n">
        <f aca="false">'9. Weighting'!I15</f>
        <v>0</v>
      </c>
      <c r="D5" s="490" t="str">
        <f aca="false">'9. Weighting'!H15</f>
        <v>Please choose</v>
      </c>
      <c r="E5" s="491" t="n">
        <f aca="false">IFERROR(VLOOKUP(D5,$A$22:$G$400,3,FALSE()),$C$243)</f>
        <v>0.978035862587365</v>
      </c>
      <c r="F5" s="492" t="n">
        <f aca="false">IFERROR(C5*E5,"0")</f>
        <v>0</v>
      </c>
      <c r="G5" s="493"/>
      <c r="H5" s="494" t="n">
        <f aca="false">IFERROR(F5/$G$3,"-")</f>
        <v>0</v>
      </c>
      <c r="I5" s="476" t="n">
        <f aca="false">IFERROR(VLOOKUP(D5,$A$21:$I$134,6,FALSE()),2.99)</f>
        <v>2.99</v>
      </c>
      <c r="J5" s="495" t="str">
        <f aca="false">'9. Weighting'!E15</f>
        <v>Pl</v>
      </c>
      <c r="K5" s="496" t="str">
        <f aca="false">'9. Weighting'!G15</f>
        <v>Please enter</v>
      </c>
      <c r="L5" s="496" t="n">
        <f aca="false">IFERROR(VLOOKUP(J5,'10. Industry'!$A$4:$P$32,16,FALSE()),'3. Calc'!C104)</f>
        <v>1</v>
      </c>
      <c r="M5" s="496" t="e">
        <f aca="false">VLOOKUP(L5,'9. Weighting'!$F$49:$H$53,3,FALSE())</f>
        <v>#N/A</v>
      </c>
      <c r="N5" s="497" t="e">
        <f aca="false">M5*H5</f>
        <v>#N/A</v>
      </c>
      <c r="O5" s="496" t="n">
        <f aca="false">IFERROR(VLOOKUP(J5,'10. Industry'!$A$4:$N$32,5,FALSE()),'3. Calc'!C104)</f>
        <v>1</v>
      </c>
      <c r="P5" s="496" t="e">
        <f aca="false">VLOOKUP(O5,'9. Weighting'!$F$49:$H$53,3,FALSE())</f>
        <v>#N/A</v>
      </c>
      <c r="Q5" s="498" t="e">
        <f aca="false">P5*H5</f>
        <v>#N/A</v>
      </c>
    </row>
    <row r="6" customFormat="false" ht="9.75" hidden="false" customHeight="true" outlineLevel="0" collapsed="false">
      <c r="A6" s="479" t="s">
        <v>237</v>
      </c>
      <c r="B6" s="488"/>
      <c r="C6" s="489" t="n">
        <f aca="false">'9. Weighting'!I16</f>
        <v>0</v>
      </c>
      <c r="D6" s="490" t="str">
        <f aca="false">'9. Weighting'!H16</f>
        <v>Please choose</v>
      </c>
      <c r="E6" s="491" t="n">
        <f aca="false">IFERROR(VLOOKUP(D6,$A$22:$G$400,3,FALSE()),$C$243)</f>
        <v>0.978035862587365</v>
      </c>
      <c r="F6" s="492" t="n">
        <f aca="false">IFERROR(C6*E6,"0")</f>
        <v>0</v>
      </c>
      <c r="G6" s="493"/>
      <c r="H6" s="494" t="n">
        <f aca="false">IFERROR(F6/$G$3,"-")</f>
        <v>0</v>
      </c>
      <c r="I6" s="476" t="n">
        <f aca="false">IFERROR(VLOOKUP(D6,$A$21:$I$134,6,FALSE()),2.99)</f>
        <v>2.99</v>
      </c>
      <c r="J6" s="495" t="str">
        <f aca="false">'9. Weighting'!E16</f>
        <v>Pl</v>
      </c>
      <c r="K6" s="496" t="str">
        <f aca="false">'9. Weighting'!G16</f>
        <v>Please enter</v>
      </c>
      <c r="L6" s="496" t="n">
        <f aca="false">IFERROR(VLOOKUP(J6,'10. Industry'!$A$4:$P$32,16,FALSE()),'3. Calc'!C104)</f>
        <v>1</v>
      </c>
      <c r="M6" s="496" t="e">
        <f aca="false">VLOOKUP(L6,'9. Weighting'!$F$49:$H$53,3,FALSE())</f>
        <v>#N/A</v>
      </c>
      <c r="N6" s="497" t="e">
        <f aca="false">M6*H6</f>
        <v>#N/A</v>
      </c>
      <c r="O6" s="496" t="n">
        <f aca="false">IFERROR(VLOOKUP(J6,'10. Industry'!$A$4:$N$32,5,FALSE()),'3. Calc'!C104)</f>
        <v>1</v>
      </c>
      <c r="P6" s="496" t="e">
        <f aca="false">VLOOKUP(O6,'9. Weighting'!$F$49:$H$53,3,FALSE())</f>
        <v>#N/A</v>
      </c>
      <c r="Q6" s="498" t="e">
        <f aca="false">P6*H6</f>
        <v>#N/A</v>
      </c>
    </row>
    <row r="7" customFormat="false" ht="12" hidden="false" customHeight="true" outlineLevel="0" collapsed="false">
      <c r="A7" s="479" t="s">
        <v>238</v>
      </c>
      <c r="B7" s="488"/>
      <c r="C7" s="489" t="n">
        <f aca="false">'9. Weighting'!I17</f>
        <v>0</v>
      </c>
      <c r="D7" s="490" t="str">
        <f aca="false">'9. Weighting'!H17</f>
        <v>Please choose</v>
      </c>
      <c r="E7" s="491" t="n">
        <f aca="false">IFERROR(VLOOKUP(D7,$A$22:$G$400,3,FALSE()),$C$243)</f>
        <v>0.978035862587365</v>
      </c>
      <c r="F7" s="492" t="n">
        <f aca="false">IFERROR(C7*E7,"0")</f>
        <v>0</v>
      </c>
      <c r="G7" s="493"/>
      <c r="H7" s="494" t="n">
        <f aca="false">IFERROR(F7/$G$3,"-")</f>
        <v>0</v>
      </c>
      <c r="I7" s="476" t="n">
        <f aca="false">IFERROR(VLOOKUP(D7,$A$21:$I$134,6,FALSE()),2.99)</f>
        <v>2.99</v>
      </c>
      <c r="J7" s="495" t="str">
        <f aca="false">'9. Weighting'!E17</f>
        <v>Pl</v>
      </c>
      <c r="K7" s="496" t="str">
        <f aca="false">'9. Weighting'!G17</f>
        <v>Please enter</v>
      </c>
      <c r="L7" s="496" t="n">
        <f aca="false">IFERROR(VLOOKUP(J7,'10. Industry'!$A$4:$P$32,16,FALSE()),'3. Calc'!C104)</f>
        <v>1</v>
      </c>
      <c r="M7" s="496" t="e">
        <f aca="false">VLOOKUP(L7,'9. Weighting'!$F$49:$H$53,3,FALSE())</f>
        <v>#N/A</v>
      </c>
      <c r="N7" s="497" t="e">
        <f aca="false">M7*H7</f>
        <v>#N/A</v>
      </c>
      <c r="O7" s="496" t="n">
        <f aca="false">IFERROR(VLOOKUP(J7,'10. Industry'!$A$4:$N$32,5,FALSE()),'3. Calc'!C104)</f>
        <v>1</v>
      </c>
      <c r="P7" s="496" t="e">
        <f aca="false">VLOOKUP(O7,'9. Weighting'!$F$49:$H$53,3,FALSE())</f>
        <v>#N/A</v>
      </c>
      <c r="Q7" s="498" t="e">
        <f aca="false">P7*H7</f>
        <v>#N/A</v>
      </c>
    </row>
    <row r="8" customFormat="false" ht="17.1" hidden="false" customHeight="true" outlineLevel="0" collapsed="false">
      <c r="A8" s="499" t="s">
        <v>239</v>
      </c>
      <c r="B8" s="488"/>
      <c r="C8" s="500" t="n">
        <f aca="false">'9. Weighting'!I18</f>
        <v>9500</v>
      </c>
      <c r="D8" s="501" t="str">
        <f aca="false">'9. Weighting'!H18</f>
        <v>Please choose</v>
      </c>
      <c r="E8" s="491" t="n">
        <f aca="false">IFERROR(VLOOKUP(D8,$A$22:$G$400,3,FALSE()),$C$243)</f>
        <v>0.978035862587365</v>
      </c>
      <c r="F8" s="493" t="n">
        <f aca="false">IFERROR(C8*E8,"0")</f>
        <v>9291.34069457997</v>
      </c>
      <c r="G8" s="493"/>
      <c r="H8" s="494" t="n">
        <f aca="false">IFERROR(F8/$G$3,"-")</f>
        <v>0.95</v>
      </c>
      <c r="I8" s="476" t="n">
        <f aca="false">IFERROR(VLOOKUP(D8,$A$21:$I$134,6,FALSE()),2.99)</f>
        <v>2.99</v>
      </c>
      <c r="J8" s="502" t="s">
        <v>240</v>
      </c>
      <c r="K8" s="502"/>
      <c r="L8" s="502"/>
      <c r="M8" s="502"/>
      <c r="N8" s="503" t="n">
        <f aca="false">IFERROR((SUM(N3:N7)*1)/SUM(H3:H7),1)</f>
        <v>1</v>
      </c>
      <c r="O8" s="504"/>
      <c r="P8" s="504"/>
      <c r="Q8" s="503" t="n">
        <f aca="false">IFERROR((SUM(Q3:Q7)*1)/SUM(H3:H7),1)</f>
        <v>1</v>
      </c>
    </row>
    <row r="9" customFormat="false" ht="11.1" hidden="false" customHeight="true" outlineLevel="0" collapsed="false">
      <c r="A9" s="505"/>
      <c r="B9" s="506"/>
      <c r="C9" s="506"/>
      <c r="D9" s="506"/>
      <c r="E9" s="507"/>
      <c r="F9" s="506"/>
      <c r="G9" s="506"/>
      <c r="H9" s="494"/>
      <c r="I9" s="508" t="n">
        <f aca="false">IFERROR(I3*H3+I4*H4+I5*H5+I6*H6+I7*H7+I8*H8,I21)</f>
        <v>2.99</v>
      </c>
    </row>
    <row r="10" customFormat="false" ht="11.1" hidden="false" customHeight="true" outlineLevel="0" collapsed="false">
      <c r="A10" s="509" t="s">
        <v>241</v>
      </c>
      <c r="B10" s="510" t="n">
        <f aca="false">'9. Weighting'!I25</f>
        <v>0</v>
      </c>
      <c r="C10" s="511" t="n">
        <f aca="false">'2. Company Facts'!D30</f>
        <v>0</v>
      </c>
      <c r="D10" s="512" t="str">
        <f aca="false">'2. Company Facts'!B30</f>
        <v>Please choose</v>
      </c>
      <c r="E10" s="491" t="n">
        <f aca="false">IFERROR(VLOOKUP(D10,$A$22:$G$400,3,FALSE()),$C$243)</f>
        <v>0.978035862587365</v>
      </c>
      <c r="F10" s="513" t="n">
        <f aca="false">C10*E10*B10</f>
        <v>0</v>
      </c>
      <c r="G10" s="513" t="n">
        <f aca="false">F10+F11+F12+F13</f>
        <v>0</v>
      </c>
      <c r="H10" s="514" t="n">
        <f aca="false">SUM(H3:H8)</f>
        <v>1</v>
      </c>
      <c r="I10" s="476" t="n">
        <f aca="false">IFERROR(VLOOKUP(D10,$A$21:$I$134,6,FALSE()),I28)</f>
        <v>0</v>
      </c>
    </row>
    <row r="11" customFormat="false" ht="9.75" hidden="false" customHeight="true" outlineLevel="0" collapsed="false">
      <c r="A11" s="515"/>
      <c r="B11" s="516"/>
      <c r="C11" s="511" t="n">
        <f aca="false">'2. Company Facts'!D31</f>
        <v>0</v>
      </c>
      <c r="D11" s="512" t="str">
        <f aca="false">'2. Company Facts'!B31</f>
        <v>Please choose</v>
      </c>
      <c r="E11" s="491" t="n">
        <f aca="false">IFERROR(VLOOKUP(D11,$A$22:$G$400,3,FALSE()),$C$243)</f>
        <v>0.978035862587365</v>
      </c>
      <c r="F11" s="513" t="n">
        <f aca="false">C11*E11*B10</f>
        <v>0</v>
      </c>
      <c r="G11" s="506"/>
      <c r="H11" s="514"/>
      <c r="I11" s="476" t="n">
        <f aca="false">IFERROR(VLOOKUP(D11,$A$21:$I$134,6,FALSE()),I29)</f>
        <v>0</v>
      </c>
    </row>
    <row r="12" customFormat="false" ht="9.75" hidden="false" customHeight="true" outlineLevel="0" collapsed="false">
      <c r="A12" s="515"/>
      <c r="B12" s="516"/>
      <c r="C12" s="511" t="n">
        <f aca="false">'2. Company Facts'!D32</f>
        <v>0</v>
      </c>
      <c r="D12" s="512" t="str">
        <f aca="false">'2. Company Facts'!B32</f>
        <v>Please choose</v>
      </c>
      <c r="E12" s="491" t="n">
        <f aca="false">IFERROR(VLOOKUP(D12,$A$22:$G$400,3,FALSE()),$C$243)</f>
        <v>0.978035862587365</v>
      </c>
      <c r="F12" s="513" t="n">
        <f aca="false">C12*E12*B10</f>
        <v>0</v>
      </c>
      <c r="G12" s="506"/>
      <c r="H12" s="514"/>
      <c r="I12" s="476" t="n">
        <f aca="false">IFERROR(VLOOKUP(D12,$A$21:$I$134,6,FALSE()),I30)</f>
        <v>0</v>
      </c>
    </row>
    <row r="13" customFormat="false" ht="9.75" hidden="false" customHeight="true" outlineLevel="0" collapsed="false">
      <c r="A13" s="515"/>
      <c r="B13" s="516"/>
      <c r="C13" s="517" t="n">
        <f aca="false">1-C10-C11-C12</f>
        <v>1</v>
      </c>
      <c r="D13" s="516" t="str">
        <f aca="false">A21</f>
        <v>Country Code</v>
      </c>
      <c r="E13" s="491" t="n">
        <f aca="false">IFERROR(VLOOKUP(D13,$A$22:$G$400,3,FALSE()),$C$243)</f>
        <v>0.978035862587365</v>
      </c>
      <c r="F13" s="513" t="n">
        <f aca="false">C13*E13*B10</f>
        <v>0</v>
      </c>
      <c r="G13" s="506"/>
      <c r="H13" s="514"/>
      <c r="I13" s="476" t="n">
        <f aca="false">IFERROR(VLOOKUP(D13,$A$21:$I$134,9,FALSE()),"0")</f>
        <v>0</v>
      </c>
    </row>
    <row r="14" customFormat="false" ht="9.75" hidden="false" customHeight="true" outlineLevel="0" collapsed="false">
      <c r="A14" s="476" t="s">
        <v>242</v>
      </c>
      <c r="I14" s="518" t="n">
        <f aca="false">I10*C10+I11*C11+I12*C12+I13*C13</f>
        <v>0</v>
      </c>
    </row>
    <row r="17" customFormat="false" ht="25.5" hidden="false" customHeight="true" outlineLevel="0" collapsed="false">
      <c r="A17" s="519" t="s">
        <v>243</v>
      </c>
      <c r="B17" s="519"/>
      <c r="C17" s="519"/>
      <c r="D17" s="519"/>
      <c r="E17" s="519"/>
      <c r="F17" s="519"/>
      <c r="G17" s="519"/>
      <c r="H17" s="519"/>
    </row>
    <row r="18" customFormat="false" ht="9.75" hidden="false" customHeight="true" outlineLevel="0" collapsed="false">
      <c r="A18" s="520" t="s">
        <v>244</v>
      </c>
      <c r="B18" s="520" t="s">
        <v>245</v>
      </c>
      <c r="C18" s="520"/>
      <c r="D18" s="520"/>
      <c r="E18" s="520"/>
      <c r="F18" s="520"/>
      <c r="G18" s="520"/>
      <c r="H18" s="521"/>
    </row>
    <row r="19" customFormat="false" ht="9.75" hidden="false" customHeight="true" outlineLevel="0" collapsed="false">
      <c r="A19" s="520" t="s">
        <v>246</v>
      </c>
      <c r="B19" s="522" t="s">
        <v>247</v>
      </c>
      <c r="C19" s="522"/>
      <c r="D19" s="520"/>
      <c r="E19" s="523" t="s">
        <v>248</v>
      </c>
      <c r="F19" s="524"/>
      <c r="G19" s="520"/>
      <c r="H19" s="521" t="s">
        <v>249</v>
      </c>
    </row>
    <row r="20" customFormat="false" ht="9.75" hidden="false" customHeight="true" outlineLevel="0" collapsed="false">
      <c r="A20" s="520"/>
      <c r="B20" s="520"/>
      <c r="C20" s="520"/>
      <c r="D20" s="520"/>
      <c r="E20" s="520"/>
      <c r="F20" s="520"/>
      <c r="G20" s="520"/>
      <c r="H20" s="521"/>
    </row>
    <row r="21" customFormat="false" ht="9.75" hidden="false" customHeight="true" outlineLevel="0" collapsed="false">
      <c r="A21" s="525" t="s">
        <v>250</v>
      </c>
      <c r="B21" s="525" t="s">
        <v>251</v>
      </c>
      <c r="C21" s="526" t="s">
        <v>252</v>
      </c>
      <c r="D21" s="526"/>
      <c r="E21" s="525" t="s">
        <v>122</v>
      </c>
      <c r="F21" s="526" t="s">
        <v>253</v>
      </c>
      <c r="G21" s="527"/>
      <c r="H21" s="528"/>
      <c r="I21" s="529"/>
      <c r="J21" s="529" t="s">
        <v>254</v>
      </c>
    </row>
    <row r="22" customFormat="false" ht="9.75" hidden="false" customHeight="true" outlineLevel="0" collapsed="false">
      <c r="A22" s="527" t="str">
        <f aca="false">'12.lan'!D339</f>
        <v>ABW Aruba </v>
      </c>
      <c r="B22" s="527" t="s">
        <v>255</v>
      </c>
      <c r="C22" s="530" t="n">
        <f aca="false">VLOOKUP(B22,'12.ppp data'!$C$3:$J$273,7,FALSE())</f>
        <v>1.96289944979353</v>
      </c>
      <c r="D22" s="530" t="str">
        <f aca="false">IF(VLOOKUP(B22,'12.ppp data'!$C$3:$J$273,8,FALSE())="est","est","-")</f>
        <v>est</v>
      </c>
      <c r="E22" s="527" t="s">
        <v>256</v>
      </c>
      <c r="F22" s="530" t="n">
        <v>3.42105263157895</v>
      </c>
      <c r="G22" s="530" t="s">
        <v>257</v>
      </c>
      <c r="H22" s="477"/>
      <c r="I22" s="529"/>
      <c r="J22" s="527" t="s">
        <v>258</v>
      </c>
    </row>
    <row r="23" customFormat="false" ht="9.75" hidden="false" customHeight="true" outlineLevel="0" collapsed="false">
      <c r="A23" s="527" t="str">
        <f aca="false">'12.lan'!D340</f>
        <v>AFG Afghanistan </v>
      </c>
      <c r="B23" s="527" t="s">
        <v>259</v>
      </c>
      <c r="C23" s="530" t="n">
        <f aca="false">VLOOKUP(B23,'12.ppp data'!$C$3:$J$273,7,FALSE())</f>
        <v>3.77632641651362</v>
      </c>
      <c r="D23" s="530" t="str">
        <f aca="false">IF(VLOOKUP(B23,'12.ppp data'!$C$3:$J$273,8,FALSE())="est","est","-")</f>
        <v>-</v>
      </c>
      <c r="E23" s="527" t="s">
        <v>260</v>
      </c>
      <c r="F23" s="530" t="n">
        <v>4.17857142857143</v>
      </c>
      <c r="G23" s="530" t="s">
        <v>257</v>
      </c>
      <c r="H23" s="477"/>
      <c r="I23" s="529"/>
      <c r="J23" s="527" t="s">
        <v>261</v>
      </c>
    </row>
    <row r="24" customFormat="false" ht="9.75" hidden="false" customHeight="true" outlineLevel="0" collapsed="false">
      <c r="A24" s="527" t="str">
        <f aca="false">'12.lan'!D341</f>
        <v>AGO Angola </v>
      </c>
      <c r="B24" s="527" t="s">
        <v>262</v>
      </c>
      <c r="C24" s="530" t="n">
        <f aca="false">VLOOKUP(B24,'12.ppp data'!$C$3:$J$273,7,FALSE())</f>
        <v>1.72178179224687</v>
      </c>
      <c r="D24" s="530" t="str">
        <f aca="false">IF(VLOOKUP(B24,'12.ppp data'!$C$3:$J$273,8,FALSE())="est","est","-")</f>
        <v>-</v>
      </c>
      <c r="E24" s="527" t="s">
        <v>263</v>
      </c>
      <c r="F24" s="530" t="n">
        <v>2</v>
      </c>
      <c r="G24" s="530"/>
      <c r="H24" s="528"/>
      <c r="I24" s="529"/>
      <c r="J24" s="527" t="s">
        <v>264</v>
      </c>
    </row>
    <row r="25" customFormat="false" ht="9.75" hidden="false" customHeight="true" outlineLevel="0" collapsed="false">
      <c r="A25" s="527" t="str">
        <f aca="false">'12.lan'!D342</f>
        <v>ALB Albania </v>
      </c>
      <c r="B25" s="527" t="s">
        <v>265</v>
      </c>
      <c r="C25" s="530" t="n">
        <f aca="false">VLOOKUP(B25,'12.ppp data'!$C$3:$J$273,7,FALSE())</f>
        <v>2.95661266669197</v>
      </c>
      <c r="D25" s="530" t="str">
        <f aca="false">IF(VLOOKUP(B25,'12.ppp data'!$C$3:$J$273,8,FALSE())="est","est","-")</f>
        <v>-</v>
      </c>
      <c r="E25" s="527" t="s">
        <v>266</v>
      </c>
      <c r="F25" s="530" t="n">
        <v>2</v>
      </c>
      <c r="G25" s="530"/>
      <c r="H25" s="531"/>
      <c r="I25" s="529"/>
      <c r="J25" s="527" t="s">
        <v>267</v>
      </c>
    </row>
    <row r="26" customFormat="false" ht="9.75" hidden="false" customHeight="true" outlineLevel="0" collapsed="false">
      <c r="A26" s="527" t="str">
        <f aca="false">'12.lan'!D343</f>
        <v>AND Andorra </v>
      </c>
      <c r="B26" s="527" t="s">
        <v>268</v>
      </c>
      <c r="C26" s="530" t="n">
        <f aca="false">VLOOKUP(B26,'12.ppp data'!$C$3:$J$273,7,FALSE())</f>
        <v>1.93286164519776</v>
      </c>
      <c r="D26" s="530" t="str">
        <f aca="false">IF(VLOOKUP(B26,'12.ppp data'!$C$3:$J$273,8,FALSE())="est","est","-")</f>
        <v>est</v>
      </c>
      <c r="E26" s="527" t="s">
        <v>266</v>
      </c>
      <c r="F26" s="530" t="n">
        <v>2</v>
      </c>
      <c r="G26" s="530" t="s">
        <v>257</v>
      </c>
      <c r="H26" s="532"/>
      <c r="I26" s="529"/>
      <c r="J26" s="527" t="s">
        <v>269</v>
      </c>
    </row>
    <row r="27" customFormat="false" ht="9.75" hidden="false" customHeight="true" outlineLevel="0" collapsed="false">
      <c r="A27" s="527" t="str">
        <f aca="false">'12.lan'!D344</f>
        <v>ARE United Arab Emirates </v>
      </c>
      <c r="B27" s="527" t="s">
        <v>270</v>
      </c>
      <c r="C27" s="530" t="n">
        <f aca="false">VLOOKUP(B27,'12.ppp data'!$C$3:$J$273,7,FALSE())</f>
        <v>2.05010803135594</v>
      </c>
      <c r="D27" s="530" t="str">
        <f aca="false">IF(VLOOKUP(B27,'12.ppp data'!$C$3:$J$273,8,FALSE())="est","est","-")</f>
        <v>-</v>
      </c>
      <c r="E27" s="527" t="s">
        <v>260</v>
      </c>
      <c r="F27" s="530" t="n">
        <v>5</v>
      </c>
      <c r="G27" s="530"/>
      <c r="H27" s="532"/>
      <c r="I27" s="529"/>
      <c r="J27" s="527" t="s">
        <v>271</v>
      </c>
    </row>
    <row r="28" customFormat="false" ht="9.75" hidden="false" customHeight="true" outlineLevel="0" collapsed="false">
      <c r="A28" s="527" t="str">
        <f aca="false">'12.lan'!D345</f>
        <v>ARG Argentina </v>
      </c>
      <c r="B28" s="527" t="s">
        <v>272</v>
      </c>
      <c r="C28" s="530" t="n">
        <f aca="false">VLOOKUP(B28,'12.ppp data'!$C$3:$J$273,7,FALSE())</f>
        <v>1.62747059071785</v>
      </c>
      <c r="D28" s="530" t="str">
        <f aca="false">IF(VLOOKUP(B28,'12.ppp data'!$C$3:$J$273,8,FALSE())="est","est","-")</f>
        <v>-</v>
      </c>
      <c r="E28" s="527" t="s">
        <v>256</v>
      </c>
      <c r="F28" s="530" t="n">
        <v>4</v>
      </c>
      <c r="G28" s="530"/>
      <c r="H28" s="531"/>
      <c r="J28" s="527" t="s">
        <v>273</v>
      </c>
    </row>
    <row r="29" customFormat="false" ht="9.75" hidden="false" customHeight="true" outlineLevel="0" collapsed="false">
      <c r="A29" s="527" t="str">
        <f aca="false">'12.lan'!D346</f>
        <v>ARM Armenia </v>
      </c>
      <c r="B29" s="527" t="s">
        <v>274</v>
      </c>
      <c r="C29" s="530" t="n">
        <f aca="false">VLOOKUP(B29,'12.ppp data'!$C$3:$J$273,7,FALSE())</f>
        <v>2.67236733754238</v>
      </c>
      <c r="D29" s="530" t="str">
        <f aca="false">IF(VLOOKUP(B29,'12.ppp data'!$C$3:$J$273,8,FALSE())="est","est","-")</f>
        <v>-</v>
      </c>
      <c r="E29" s="527" t="s">
        <v>260</v>
      </c>
      <c r="F29" s="530" t="n">
        <v>4.17857142857143</v>
      </c>
      <c r="G29" s="530" t="s">
        <v>257</v>
      </c>
      <c r="H29" s="531"/>
      <c r="J29" s="527" t="s">
        <v>275</v>
      </c>
    </row>
    <row r="30" customFormat="false" ht="9.75" hidden="false" customHeight="true" outlineLevel="0" collapsed="false">
      <c r="A30" s="527" t="str">
        <f aca="false">'12.lan'!D347</f>
        <v>ASM American Samoa </v>
      </c>
      <c r="B30" s="527" t="s">
        <v>276</v>
      </c>
      <c r="C30" s="530" t="n">
        <f aca="false">VLOOKUP(B30,'12.ppp data'!$C$3:$J$273,7,FALSE())</f>
        <v>1.35633083709363</v>
      </c>
      <c r="D30" s="530" t="str">
        <f aca="false">IF(VLOOKUP(B30,'12.ppp data'!$C$3:$J$273,8,FALSE())="est","est","-")</f>
        <v>est</v>
      </c>
      <c r="E30" s="527" t="s">
        <v>277</v>
      </c>
      <c r="F30" s="530" t="n">
        <v>3</v>
      </c>
      <c r="G30" s="530"/>
      <c r="H30" s="531"/>
      <c r="J30" s="527" t="s">
        <v>278</v>
      </c>
    </row>
    <row r="31" customFormat="false" ht="9.75" hidden="false" customHeight="true" outlineLevel="0" collapsed="false">
      <c r="A31" s="527" t="str">
        <f aca="false">'12.lan'!D348</f>
        <v>ATG Antigua and Barbuda </v>
      </c>
      <c r="B31" s="527" t="s">
        <v>279</v>
      </c>
      <c r="C31" s="530" t="n">
        <f aca="false">VLOOKUP(B31,'12.ppp data'!$C$3:$J$273,7,FALSE())</f>
        <v>1.77403645769243</v>
      </c>
      <c r="D31" s="530" t="str">
        <f aca="false">IF(VLOOKUP(B31,'12.ppp data'!$C$3:$J$273,8,FALSE())="est","est","-")</f>
        <v>-</v>
      </c>
      <c r="E31" s="527" t="s">
        <v>256</v>
      </c>
      <c r="F31" s="530" t="n">
        <v>3.42105263157895</v>
      </c>
      <c r="G31" s="530" t="s">
        <v>257</v>
      </c>
      <c r="H31" s="531"/>
      <c r="J31" s="527" t="s">
        <v>280</v>
      </c>
    </row>
    <row r="32" customFormat="false" ht="9.75" hidden="false" customHeight="true" outlineLevel="0" collapsed="false">
      <c r="A32" s="527" t="str">
        <f aca="false">'12.lan'!D349</f>
        <v>AUS Australia </v>
      </c>
      <c r="B32" s="527" t="s">
        <v>281</v>
      </c>
      <c r="C32" s="530" t="n">
        <f aca="false">VLOOKUP(B32,'12.ppp data'!$C$3:$J$273,7,FALSE())</f>
        <v>0.972051582845554</v>
      </c>
      <c r="D32" s="530" t="str">
        <f aca="false">IF(VLOOKUP(B32,'12.ppp data'!$C$3:$J$273,8,FALSE())="est","est","-")</f>
        <v>-</v>
      </c>
      <c r="E32" s="527" t="s">
        <v>277</v>
      </c>
      <c r="F32" s="530" t="n">
        <v>3</v>
      </c>
      <c r="G32" s="530" t="s">
        <v>257</v>
      </c>
      <c r="H32" s="531"/>
      <c r="J32" s="527" t="s">
        <v>282</v>
      </c>
    </row>
    <row r="33" customFormat="false" ht="9.75" hidden="false" customHeight="true" outlineLevel="0" collapsed="false">
      <c r="A33" s="527" t="str">
        <f aca="false">'12.lan'!D350</f>
        <v>AUT Austria </v>
      </c>
      <c r="B33" s="527" t="s">
        <v>283</v>
      </c>
      <c r="C33" s="530" t="n">
        <f aca="false">VLOOKUP(B33,'12.ppp data'!$C$3:$J$273,7,FALSE())</f>
        <v>1.2523873634115</v>
      </c>
      <c r="D33" s="530" t="str">
        <f aca="false">IF(VLOOKUP(B33,'12.ppp data'!$C$3:$J$273,8,FALSE())="est","est","-")</f>
        <v>-</v>
      </c>
      <c r="E33" s="527" t="s">
        <v>266</v>
      </c>
      <c r="F33" s="530" t="n">
        <v>1</v>
      </c>
      <c r="G33" s="530"/>
      <c r="H33" s="531"/>
      <c r="J33" s="527" t="s">
        <v>284</v>
      </c>
    </row>
    <row r="34" customFormat="false" ht="9.75" hidden="false" customHeight="true" outlineLevel="0" collapsed="false">
      <c r="A34" s="527" t="str">
        <f aca="false">'12.lan'!D351</f>
        <v>AZE Azerbaijan </v>
      </c>
      <c r="B34" s="527" t="s">
        <v>285</v>
      </c>
      <c r="C34" s="530" t="n">
        <f aca="false">VLOOKUP(B34,'12.ppp data'!$C$3:$J$273,7,FALSE())</f>
        <v>4.73103091714864</v>
      </c>
      <c r="D34" s="530" t="str">
        <f aca="false">IF(VLOOKUP(B34,'12.ppp data'!$C$3:$J$273,8,FALSE())="est","est","-")</f>
        <v>-</v>
      </c>
      <c r="E34" s="527" t="s">
        <v>260</v>
      </c>
      <c r="F34" s="530" t="n">
        <v>4.17857142857143</v>
      </c>
      <c r="G34" s="530" t="s">
        <v>257</v>
      </c>
      <c r="H34" s="531"/>
      <c r="J34" s="527" t="s">
        <v>286</v>
      </c>
    </row>
    <row r="35" customFormat="false" ht="9.75" hidden="false" customHeight="true" outlineLevel="0" collapsed="false">
      <c r="A35" s="527" t="str">
        <f aca="false">'12.lan'!D352</f>
        <v>BDI Burundi </v>
      </c>
      <c r="B35" s="527" t="s">
        <v>287</v>
      </c>
      <c r="C35" s="530" t="n">
        <f aca="false">VLOOKUP(B35,'12.ppp data'!$C$3:$J$273,7,FALSE())</f>
        <v>2.67367256673563</v>
      </c>
      <c r="D35" s="530" t="str">
        <f aca="false">IF(VLOOKUP(B35,'12.ppp data'!$C$3:$J$273,8,FALSE())="est","est","-")</f>
        <v>-</v>
      </c>
      <c r="E35" s="527" t="s">
        <v>263</v>
      </c>
      <c r="F35" s="530" t="n">
        <v>3.70833333333333</v>
      </c>
      <c r="G35" s="530" t="s">
        <v>257</v>
      </c>
      <c r="H35" s="531"/>
      <c r="J35" s="527" t="s">
        <v>288</v>
      </c>
    </row>
    <row r="36" customFormat="false" ht="9.75" hidden="false" customHeight="true" outlineLevel="0" collapsed="false">
      <c r="A36" s="527" t="str">
        <f aca="false">'12.lan'!D353</f>
        <v>BEL Belgium </v>
      </c>
      <c r="B36" s="527" t="s">
        <v>289</v>
      </c>
      <c r="C36" s="530" t="n">
        <f aca="false">VLOOKUP(B36,'12.ppp data'!$C$3:$J$273,7,FALSE())</f>
        <v>1.23710472957509</v>
      </c>
      <c r="D36" s="530" t="str">
        <f aca="false">IF(VLOOKUP(B36,'12.ppp data'!$C$3:$J$273,8,FALSE())="est","est","-")</f>
        <v>-</v>
      </c>
      <c r="E36" s="527" t="s">
        <v>266</v>
      </c>
      <c r="F36" s="530" t="n">
        <v>1</v>
      </c>
      <c r="G36" s="530"/>
      <c r="H36" s="477"/>
      <c r="J36" s="527" t="s">
        <v>290</v>
      </c>
    </row>
    <row r="37" customFormat="false" ht="9.75" hidden="false" customHeight="true" outlineLevel="0" collapsed="false">
      <c r="A37" s="527" t="str">
        <f aca="false">'12.lan'!D354</f>
        <v>BEN Benin </v>
      </c>
      <c r="B37" s="527" t="s">
        <v>291</v>
      </c>
      <c r="C37" s="530" t="n">
        <f aca="false">VLOOKUP(B37,'12.ppp data'!$C$3:$J$273,7,FALSE())</f>
        <v>3.08829265535391</v>
      </c>
      <c r="D37" s="530" t="str">
        <f aca="false">IF(VLOOKUP(B37,'12.ppp data'!$C$3:$J$273,8,FALSE())="est","est","-")</f>
        <v>-</v>
      </c>
      <c r="E37" s="527" t="s">
        <v>263</v>
      </c>
      <c r="F37" s="530" t="n">
        <v>3.70833333333333</v>
      </c>
      <c r="G37" s="530" t="s">
        <v>257</v>
      </c>
      <c r="H37" s="477"/>
      <c r="J37" s="527" t="s">
        <v>292</v>
      </c>
    </row>
    <row r="38" customFormat="false" ht="9.75" hidden="false" customHeight="true" outlineLevel="0" collapsed="false">
      <c r="A38" s="527" t="str">
        <f aca="false">'12.lan'!D355</f>
        <v>BFA Burkina Faso </v>
      </c>
      <c r="B38" s="527" t="s">
        <v>293</v>
      </c>
      <c r="C38" s="530" t="n">
        <f aca="false">VLOOKUP(B38,'12.ppp data'!$C$3:$J$273,7,FALSE())</f>
        <v>3.14412039894307</v>
      </c>
      <c r="D38" s="530" t="str">
        <f aca="false">IF(VLOOKUP(B38,'12.ppp data'!$C$3:$J$273,8,FALSE())="est","est","-")</f>
        <v>-</v>
      </c>
      <c r="E38" s="527" t="s">
        <v>263</v>
      </c>
      <c r="F38" s="530" t="n">
        <v>3.70833333333333</v>
      </c>
      <c r="G38" s="530" t="s">
        <v>257</v>
      </c>
      <c r="H38" s="477"/>
      <c r="J38" s="527" t="s">
        <v>294</v>
      </c>
    </row>
    <row r="39" customFormat="false" ht="9.75" hidden="false" customHeight="true" outlineLevel="0" collapsed="false">
      <c r="A39" s="527" t="str">
        <f aca="false">'12.lan'!D356</f>
        <v>BGD Bangladesh </v>
      </c>
      <c r="B39" s="527" t="s">
        <v>295</v>
      </c>
      <c r="C39" s="530" t="n">
        <f aca="false">VLOOKUP(B39,'12.ppp data'!$C$3:$J$273,7,FALSE())</f>
        <v>2.91129894902451</v>
      </c>
      <c r="D39" s="530" t="str">
        <f aca="false">IF(VLOOKUP(B39,'12.ppp data'!$C$3:$J$273,8,FALSE())="est","est","-")</f>
        <v>-</v>
      </c>
      <c r="E39" s="527" t="s">
        <v>260</v>
      </c>
      <c r="F39" s="530" t="n">
        <v>5</v>
      </c>
      <c r="G39" s="530"/>
      <c r="H39" s="477"/>
      <c r="J39" s="527" t="s">
        <v>296</v>
      </c>
    </row>
    <row r="40" customFormat="false" ht="9.75" hidden="false" customHeight="true" outlineLevel="0" collapsed="false">
      <c r="A40" s="527" t="str">
        <f aca="false">'12.lan'!D357</f>
        <v>BGR Bulgaria </v>
      </c>
      <c r="B40" s="527" t="s">
        <v>297</v>
      </c>
      <c r="C40" s="530" t="n">
        <f aca="false">VLOOKUP(B40,'12.ppp data'!$C$3:$J$273,7,FALSE())</f>
        <v>2.84731792906487</v>
      </c>
      <c r="D40" s="530" t="str">
        <f aca="false">IF(VLOOKUP(B40,'12.ppp data'!$C$3:$J$273,8,FALSE())="est","est","-")</f>
        <v>-</v>
      </c>
      <c r="E40" s="527" t="s">
        <v>266</v>
      </c>
      <c r="F40" s="530" t="n">
        <v>3</v>
      </c>
      <c r="G40" s="530"/>
      <c r="H40" s="477"/>
      <c r="J40" s="527" t="s">
        <v>298</v>
      </c>
    </row>
    <row r="41" customFormat="false" ht="9.75" hidden="false" customHeight="true" outlineLevel="0" collapsed="false">
      <c r="A41" s="527" t="str">
        <f aca="false">'12.lan'!D358</f>
        <v>BHR Bahrain </v>
      </c>
      <c r="B41" s="527" t="s">
        <v>299</v>
      </c>
      <c r="C41" s="530" t="n">
        <f aca="false">VLOOKUP(B41,'12.ppp data'!$C$3:$J$273,7,FALSE())</f>
        <v>2.25756428214409</v>
      </c>
      <c r="D41" s="530" t="str">
        <f aca="false">IF(VLOOKUP(B41,'12.ppp data'!$C$3:$J$273,8,FALSE())="est","est","-")</f>
        <v>-</v>
      </c>
      <c r="E41" s="527" t="s">
        <v>260</v>
      </c>
      <c r="F41" s="530" t="n">
        <v>4</v>
      </c>
      <c r="G41" s="530"/>
      <c r="H41" s="477"/>
      <c r="J41" s="527" t="s">
        <v>300</v>
      </c>
    </row>
    <row r="42" customFormat="false" ht="9.75" hidden="false" customHeight="true" outlineLevel="0" collapsed="false">
      <c r="A42" s="527" t="str">
        <f aca="false">'12.lan'!D359</f>
        <v>BHS Bahamas </v>
      </c>
      <c r="B42" s="527" t="s">
        <v>301</v>
      </c>
      <c r="C42" s="530" t="n">
        <f aca="false">VLOOKUP(B42,'12.ppp data'!$C$3:$J$273,7,FALSE())</f>
        <v>1.11730570926189</v>
      </c>
      <c r="D42" s="530" t="str">
        <f aca="false">IF(VLOOKUP(B42,'12.ppp data'!$C$3:$J$273,8,FALSE())="est","est","-")</f>
        <v>-</v>
      </c>
      <c r="E42" s="527" t="s">
        <v>256</v>
      </c>
      <c r="F42" s="530" t="n">
        <v>3.42105263157895</v>
      </c>
      <c r="G42" s="530" t="s">
        <v>257</v>
      </c>
      <c r="H42" s="477"/>
      <c r="J42" s="527" t="s">
        <v>302</v>
      </c>
    </row>
    <row r="43" customFormat="false" ht="9.75" hidden="false" customHeight="true" outlineLevel="0" collapsed="false">
      <c r="A43" s="527" t="str">
        <f aca="false">'12.lan'!D360</f>
        <v>BIH Bosnia and Herzegovina </v>
      </c>
      <c r="B43" s="527" t="s">
        <v>303</v>
      </c>
      <c r="C43" s="530" t="n">
        <f aca="false">VLOOKUP(B43,'12.ppp data'!$C$3:$J$273,7,FALSE())</f>
        <v>2.8020129058</v>
      </c>
      <c r="D43" s="530" t="str">
        <f aca="false">IF(VLOOKUP(B43,'12.ppp data'!$C$3:$J$273,8,FALSE())="est","est","-")</f>
        <v>-</v>
      </c>
      <c r="E43" s="527" t="s">
        <v>266</v>
      </c>
      <c r="F43" s="530" t="n">
        <v>2</v>
      </c>
      <c r="G43" s="530"/>
      <c r="H43" s="477"/>
      <c r="J43" s="527" t="s">
        <v>304</v>
      </c>
    </row>
    <row r="44" customFormat="false" ht="9.75" hidden="false" customHeight="true" outlineLevel="0" collapsed="false">
      <c r="A44" s="527" t="str">
        <f aca="false">'12.lan'!D361</f>
        <v>BLR Belarus </v>
      </c>
      <c r="B44" s="527" t="s">
        <v>305</v>
      </c>
      <c r="C44" s="530" t="n">
        <f aca="false">VLOOKUP(B44,'12.ppp data'!$C$3:$J$273,7,FALSE())</f>
        <v>3.80461418295071</v>
      </c>
      <c r="D44" s="530" t="str">
        <f aca="false">IF(VLOOKUP(B44,'12.ppp data'!$C$3:$J$273,8,FALSE())="est","est","-")</f>
        <v>-</v>
      </c>
      <c r="E44" s="527" t="s">
        <v>266</v>
      </c>
      <c r="F44" s="530" t="n">
        <v>5</v>
      </c>
      <c r="G44" s="530"/>
      <c r="H44" s="477"/>
      <c r="J44" s="527" t="s">
        <v>306</v>
      </c>
    </row>
    <row r="45" customFormat="false" ht="9.75" hidden="false" customHeight="true" outlineLevel="0" collapsed="false">
      <c r="A45" s="527" t="str">
        <f aca="false">'12.lan'!D362</f>
        <v>BLZ Belize </v>
      </c>
      <c r="B45" s="527" t="s">
        <v>307</v>
      </c>
      <c r="C45" s="530" t="n">
        <f aca="false">VLOOKUP(B45,'12.ppp data'!$C$3:$J$273,7,FALSE())</f>
        <v>1.97784561070438</v>
      </c>
      <c r="D45" s="530" t="str">
        <f aca="false">IF(VLOOKUP(B45,'12.ppp data'!$C$3:$J$273,8,FALSE())="est","est","-")</f>
        <v>-</v>
      </c>
      <c r="E45" s="527" t="s">
        <v>256</v>
      </c>
      <c r="F45" s="530" t="n">
        <v>3.42105263157895</v>
      </c>
      <c r="G45" s="530" t="s">
        <v>257</v>
      </c>
      <c r="H45" s="477"/>
      <c r="J45" s="527" t="s">
        <v>308</v>
      </c>
    </row>
    <row r="46" customFormat="false" ht="9.75" hidden="false" customHeight="true" outlineLevel="0" collapsed="false">
      <c r="A46" s="527" t="str">
        <f aca="false">'12.lan'!D363</f>
        <v>BMU Bermuda </v>
      </c>
      <c r="B46" s="527" t="s">
        <v>309</v>
      </c>
      <c r="C46" s="530" t="n">
        <f aca="false">VLOOKUP(B46,'12.ppp data'!$C$3:$J$273,7,FALSE())</f>
        <v>1.96289944979353</v>
      </c>
      <c r="D46" s="530" t="str">
        <f aca="false">IF(VLOOKUP(B46,'12.ppp data'!$C$3:$J$273,8,FALSE())="est","est","-")</f>
        <v>est</v>
      </c>
      <c r="E46" s="527" t="s">
        <v>256</v>
      </c>
      <c r="F46" s="530" t="n">
        <v>3.42105263157895</v>
      </c>
      <c r="G46" s="530" t="s">
        <v>257</v>
      </c>
      <c r="H46" s="477"/>
      <c r="J46" s="527" t="s">
        <v>310</v>
      </c>
    </row>
    <row r="47" customFormat="false" ht="9.75" hidden="false" customHeight="true" outlineLevel="0" collapsed="false">
      <c r="A47" s="527" t="str">
        <f aca="false">'12.lan'!D364</f>
        <v>BOL Bolivia, Plurinational State of </v>
      </c>
      <c r="B47" s="527" t="s">
        <v>311</v>
      </c>
      <c r="C47" s="530" t="n">
        <f aca="false">VLOOKUP(B47,'12.ppp data'!$C$3:$J$273,7,FALSE())</f>
        <v>2.46756228664802</v>
      </c>
      <c r="D47" s="530" t="str">
        <f aca="false">IF(VLOOKUP(B47,'12.ppp data'!$C$3:$J$273,8,FALSE())="est","est","-")</f>
        <v>-</v>
      </c>
      <c r="E47" s="527" t="s">
        <v>256</v>
      </c>
      <c r="F47" s="530" t="n">
        <v>3</v>
      </c>
      <c r="G47" s="530"/>
      <c r="H47" s="477"/>
      <c r="J47" s="527" t="s">
        <v>312</v>
      </c>
    </row>
    <row r="48" customFormat="false" ht="9.75" hidden="false" customHeight="true" outlineLevel="0" collapsed="false">
      <c r="A48" s="527" t="str">
        <f aca="false">'12.lan'!D365</f>
        <v>BRA Brazil </v>
      </c>
      <c r="B48" s="527" t="s">
        <v>313</v>
      </c>
      <c r="C48" s="530" t="n">
        <f aca="false">VLOOKUP(B48,'12.ppp data'!$C$3:$J$273,7,FALSE())</f>
        <v>1.78027211262309</v>
      </c>
      <c r="D48" s="530" t="str">
        <f aca="false">IF(VLOOKUP(B48,'12.ppp data'!$C$3:$J$273,8,FALSE())="est","est","-")</f>
        <v>-</v>
      </c>
      <c r="E48" s="527" t="s">
        <v>256</v>
      </c>
      <c r="F48" s="530" t="n">
        <v>3</v>
      </c>
      <c r="G48" s="530"/>
      <c r="H48" s="477"/>
      <c r="J48" s="527" t="s">
        <v>314</v>
      </c>
    </row>
    <row r="49" customFormat="false" ht="9.75" hidden="false" customHeight="true" outlineLevel="0" collapsed="false">
      <c r="A49" s="527" t="str">
        <f aca="false">'12.lan'!D366</f>
        <v>BRB Barbados </v>
      </c>
      <c r="B49" s="527" t="s">
        <v>315</v>
      </c>
      <c r="C49" s="530" t="n">
        <f aca="false">VLOOKUP(B49,'12.ppp data'!$C$3:$J$273,7,FALSE())</f>
        <v>1.25400385466135</v>
      </c>
      <c r="D49" s="530" t="str">
        <f aca="false">IF(VLOOKUP(B49,'12.ppp data'!$C$3:$J$273,8,FALSE())="est","est","-")</f>
        <v>-</v>
      </c>
      <c r="E49" s="527" t="s">
        <v>256</v>
      </c>
      <c r="F49" s="530" t="n">
        <v>3.42105263157895</v>
      </c>
      <c r="G49" s="530" t="s">
        <v>257</v>
      </c>
      <c r="H49" s="477"/>
      <c r="J49" s="527" t="s">
        <v>316</v>
      </c>
    </row>
    <row r="50" customFormat="false" ht="9.75" hidden="false" customHeight="true" outlineLevel="0" collapsed="false">
      <c r="A50" s="527" t="str">
        <f aca="false">'12.lan'!D367</f>
        <v>BRN Brunei Darussalam </v>
      </c>
      <c r="B50" s="527" t="s">
        <v>317</v>
      </c>
      <c r="C50" s="530" t="n">
        <f aca="false">VLOOKUP(B50,'12.ppp data'!$C$3:$J$273,7,FALSE())</f>
        <v>3.11761815281005</v>
      </c>
      <c r="D50" s="530" t="str">
        <f aca="false">IF(VLOOKUP(B50,'12.ppp data'!$C$3:$J$273,8,FALSE())="est","est","-")</f>
        <v>-</v>
      </c>
      <c r="E50" s="527" t="s">
        <v>260</v>
      </c>
      <c r="F50" s="530" t="n">
        <v>4.17857142857143</v>
      </c>
      <c r="G50" s="530" t="s">
        <v>257</v>
      </c>
      <c r="H50" s="477"/>
      <c r="J50" s="527" t="s">
        <v>318</v>
      </c>
    </row>
    <row r="51" customFormat="false" ht="9.75" hidden="false" customHeight="true" outlineLevel="0" collapsed="false">
      <c r="A51" s="527" t="str">
        <f aca="false">'12.lan'!D368</f>
        <v>BTN Bhutan </v>
      </c>
      <c r="B51" s="527" t="s">
        <v>319</v>
      </c>
      <c r="C51" s="530" t="n">
        <f aca="false">VLOOKUP(B51,'12.ppp data'!$C$3:$J$273,7,FALSE())</f>
        <v>3.32340929187407</v>
      </c>
      <c r="D51" s="530" t="str">
        <f aca="false">IF(VLOOKUP(B51,'12.ppp data'!$C$3:$J$273,8,FALSE())="est","est","-")</f>
        <v>-</v>
      </c>
      <c r="E51" s="527" t="s">
        <v>260</v>
      </c>
      <c r="F51" s="530" t="n">
        <v>4.17857142857143</v>
      </c>
      <c r="G51" s="530" t="s">
        <v>257</v>
      </c>
      <c r="H51" s="477"/>
      <c r="J51" s="527" t="s">
        <v>320</v>
      </c>
    </row>
    <row r="52" customFormat="false" ht="9.75" hidden="false" customHeight="true" outlineLevel="0" collapsed="false">
      <c r="A52" s="527" t="str">
        <f aca="false">'12.lan'!D369</f>
        <v>BWA Botswana </v>
      </c>
      <c r="B52" s="527" t="s">
        <v>321</v>
      </c>
      <c r="C52" s="530" t="n">
        <f aca="false">VLOOKUP(B52,'12.ppp data'!$C$3:$J$273,7,FALSE())</f>
        <v>2.55030434987067</v>
      </c>
      <c r="D52" s="530" t="str">
        <f aca="false">IF(VLOOKUP(B52,'12.ppp data'!$C$3:$J$273,8,FALSE())="est","est","-")</f>
        <v>-</v>
      </c>
      <c r="E52" s="527" t="s">
        <v>263</v>
      </c>
      <c r="F52" s="530" t="n">
        <v>4</v>
      </c>
      <c r="G52" s="530"/>
      <c r="H52" s="477"/>
      <c r="J52" s="527" t="s">
        <v>322</v>
      </c>
    </row>
    <row r="53" customFormat="false" ht="9.75" hidden="false" customHeight="true" outlineLevel="0" collapsed="false">
      <c r="A53" s="527" t="str">
        <f aca="false">'12.lan'!D370</f>
        <v>CAF Central African Republic </v>
      </c>
      <c r="B53" s="527" t="s">
        <v>323</v>
      </c>
      <c r="C53" s="530" t="n">
        <f aca="false">VLOOKUP(B53,'12.ppp data'!$C$3:$J$273,7,FALSE())</f>
        <v>1.95902564248837</v>
      </c>
      <c r="D53" s="530" t="str">
        <f aca="false">IF(VLOOKUP(B53,'12.ppp data'!$C$3:$J$273,8,FALSE())="est","est","-")</f>
        <v>-</v>
      </c>
      <c r="E53" s="527" t="s">
        <v>263</v>
      </c>
      <c r="F53" s="530" t="n">
        <v>3.70833333333333</v>
      </c>
      <c r="G53" s="530" t="s">
        <v>257</v>
      </c>
      <c r="H53" s="477"/>
      <c r="J53" s="527" t="s">
        <v>324</v>
      </c>
    </row>
    <row r="54" customFormat="false" ht="9.75" hidden="false" customHeight="true" outlineLevel="0" collapsed="false">
      <c r="A54" s="527" t="str">
        <f aca="false">'12.lan'!D371</f>
        <v>CAN Canada </v>
      </c>
      <c r="B54" s="527" t="s">
        <v>325</v>
      </c>
      <c r="C54" s="530" t="n">
        <f aca="false">VLOOKUP(B54,'12.ppp data'!$C$3:$J$273,7,FALSE())</f>
        <v>1.16347457237046</v>
      </c>
      <c r="D54" s="530" t="str">
        <f aca="false">IF(VLOOKUP(B54,'12.ppp data'!$C$3:$J$273,8,FALSE())="est","est","-")</f>
        <v>-</v>
      </c>
      <c r="E54" s="527" t="s">
        <v>256</v>
      </c>
      <c r="F54" s="530" t="n">
        <v>3</v>
      </c>
      <c r="G54" s="530"/>
      <c r="H54" s="477"/>
      <c r="I54" s="533"/>
      <c r="J54" s="527" t="s">
        <v>326</v>
      </c>
    </row>
    <row r="55" customFormat="false" ht="9.75" hidden="false" customHeight="true" outlineLevel="0" collapsed="false">
      <c r="A55" s="527" t="str">
        <f aca="false">'12.lan'!D372</f>
        <v>CHE Switzerland </v>
      </c>
      <c r="B55" s="527" t="s">
        <v>327</v>
      </c>
      <c r="C55" s="530" t="n">
        <f aca="false">VLOOKUP(B55,'12.ppp data'!$C$3:$J$273,7,FALSE())</f>
        <v>0.915388283910166</v>
      </c>
      <c r="D55" s="530" t="str">
        <f aca="false">IF(VLOOKUP(B55,'12.ppp data'!$C$3:$J$273,8,FALSE())="est","est","-")</f>
        <v>-</v>
      </c>
      <c r="E55" s="527" t="s">
        <v>266</v>
      </c>
      <c r="F55" s="530" t="n">
        <v>2</v>
      </c>
      <c r="G55" s="530" t="s">
        <v>257</v>
      </c>
      <c r="H55" s="477"/>
      <c r="J55" s="527" t="s">
        <v>328</v>
      </c>
    </row>
    <row r="56" customFormat="false" ht="9.75" hidden="false" customHeight="true" outlineLevel="0" collapsed="false">
      <c r="A56" s="527" t="str">
        <f aca="false">'12.lan'!D373</f>
        <v>CHL Chile </v>
      </c>
      <c r="B56" s="527" t="s">
        <v>329</v>
      </c>
      <c r="C56" s="530" t="n">
        <f aca="false">VLOOKUP(B56,'12.ppp data'!$C$3:$J$273,7,FALSE())</f>
        <v>1.76442448139645</v>
      </c>
      <c r="D56" s="530" t="str">
        <f aca="false">IF(VLOOKUP(B56,'12.ppp data'!$C$3:$J$273,8,FALSE())="est","est","-")</f>
        <v>-</v>
      </c>
      <c r="E56" s="527" t="s">
        <v>256</v>
      </c>
      <c r="F56" s="530" t="n">
        <v>3</v>
      </c>
      <c r="G56" s="530"/>
      <c r="H56" s="477"/>
      <c r="J56" s="527" t="s">
        <v>330</v>
      </c>
    </row>
    <row r="57" customFormat="false" ht="9.75" hidden="false" customHeight="true" outlineLevel="0" collapsed="false">
      <c r="A57" s="527" t="str">
        <f aca="false">'12.lan'!D374</f>
        <v>CHN China </v>
      </c>
      <c r="B57" s="527" t="s">
        <v>331</v>
      </c>
      <c r="C57" s="530" t="n">
        <f aca="false">VLOOKUP(B57,'12.ppp data'!$C$3:$J$273,7,FALSE())</f>
        <v>2.15037979616706</v>
      </c>
      <c r="D57" s="530" t="str">
        <f aca="false">IF(VLOOKUP(B57,'12.ppp data'!$C$3:$J$273,8,FALSE())="est","est","-")</f>
        <v>-</v>
      </c>
      <c r="E57" s="527" t="s">
        <v>260</v>
      </c>
      <c r="F57" s="530" t="n">
        <v>5</v>
      </c>
      <c r="G57" s="530"/>
      <c r="H57" s="477"/>
      <c r="J57" s="527" t="s">
        <v>332</v>
      </c>
    </row>
    <row r="58" customFormat="false" ht="9.75" hidden="false" customHeight="true" outlineLevel="0" collapsed="false">
      <c r="A58" s="527" t="str">
        <f aca="false">'12.lan'!D375</f>
        <v>CIV Côte d'Ivoire </v>
      </c>
      <c r="B58" s="527" t="s">
        <v>333</v>
      </c>
      <c r="C58" s="530" t="n">
        <f aca="false">VLOOKUP(B58,'12.ppp data'!$C$3:$J$273,7,FALSE())</f>
        <v>2.68358914431382</v>
      </c>
      <c r="D58" s="530" t="str">
        <f aca="false">IF(VLOOKUP(B58,'12.ppp data'!$C$3:$J$273,8,FALSE())="est","est","-")</f>
        <v>-</v>
      </c>
      <c r="E58" s="527" t="s">
        <v>263</v>
      </c>
      <c r="F58" s="530" t="n">
        <v>5</v>
      </c>
      <c r="G58" s="530"/>
      <c r="H58" s="477"/>
      <c r="J58" s="527" t="s">
        <v>334</v>
      </c>
    </row>
    <row r="59" customFormat="false" ht="9.75" hidden="false" customHeight="true" outlineLevel="0" collapsed="false">
      <c r="A59" s="527" t="str">
        <f aca="false">'12.lan'!D376</f>
        <v>CMR Cameroon </v>
      </c>
      <c r="B59" s="527" t="s">
        <v>335</v>
      </c>
      <c r="C59" s="530" t="n">
        <f aca="false">VLOOKUP(B59,'12.ppp data'!$C$3:$J$273,7,FALSE())</f>
        <v>2.883238648488</v>
      </c>
      <c r="D59" s="530" t="str">
        <f aca="false">IF(VLOOKUP(B59,'12.ppp data'!$C$3:$J$273,8,FALSE())="est","est","-")</f>
        <v>-</v>
      </c>
      <c r="E59" s="527" t="s">
        <v>263</v>
      </c>
      <c r="F59" s="530" t="n">
        <v>2</v>
      </c>
      <c r="G59" s="530"/>
      <c r="H59" s="477"/>
      <c r="J59" s="527" t="s">
        <v>336</v>
      </c>
    </row>
    <row r="60" customFormat="false" ht="9.75" hidden="false" customHeight="true" outlineLevel="0" collapsed="false">
      <c r="A60" s="527" t="str">
        <f aca="false">'12.lan'!D377</f>
        <v>COD Congo, the Democratic Republic of the </v>
      </c>
      <c r="B60" s="527" t="s">
        <v>337</v>
      </c>
      <c r="C60" s="530" t="n">
        <f aca="false">VLOOKUP(B60,'12.ppp data'!$C$3:$J$273,7,FALSE())</f>
        <v>2.12993928105123</v>
      </c>
      <c r="D60" s="530" t="str">
        <f aca="false">IF(VLOOKUP(B60,'12.ppp data'!$C$3:$J$273,8,FALSE())="est","est","-")</f>
        <v>-</v>
      </c>
      <c r="E60" s="527" t="s">
        <v>263</v>
      </c>
      <c r="F60" s="530" t="n">
        <v>4</v>
      </c>
      <c r="G60" s="530"/>
      <c r="H60" s="477"/>
      <c r="J60" s="527" t="s">
        <v>338</v>
      </c>
    </row>
    <row r="61" customFormat="false" ht="9.75" hidden="false" customHeight="true" outlineLevel="0" collapsed="false">
      <c r="A61" s="527" t="str">
        <f aca="false">'12.lan'!D378</f>
        <v>COG Congo </v>
      </c>
      <c r="B61" s="527" t="s">
        <v>339</v>
      </c>
      <c r="C61" s="530" t="n">
        <f aca="false">VLOOKUP(B61,'12.ppp data'!$C$3:$J$273,7,FALSE())</f>
        <v>3.6495000244035</v>
      </c>
      <c r="D61" s="530" t="str">
        <f aca="false">IF(VLOOKUP(B61,'12.ppp data'!$C$3:$J$273,8,FALSE())="est","est","-")</f>
        <v>-</v>
      </c>
      <c r="E61" s="527" t="s">
        <v>263</v>
      </c>
      <c r="F61" s="530" t="n">
        <v>3</v>
      </c>
      <c r="G61" s="530"/>
      <c r="H61" s="477"/>
      <c r="J61" s="527" t="s">
        <v>340</v>
      </c>
    </row>
    <row r="62" customFormat="false" ht="9.75" hidden="false" customHeight="true" outlineLevel="0" collapsed="false">
      <c r="A62" s="527" t="str">
        <f aca="false">'12.lan'!D379</f>
        <v>COL Colombia </v>
      </c>
      <c r="B62" s="527" t="s">
        <v>341</v>
      </c>
      <c r="C62" s="530" t="n">
        <f aca="false">VLOOKUP(B62,'12.ppp data'!$C$3:$J$273,7,FALSE())</f>
        <v>2.59989679628651</v>
      </c>
      <c r="D62" s="530" t="str">
        <f aca="false">IF(VLOOKUP(B62,'12.ppp data'!$C$3:$J$273,8,FALSE())="est","est","-")</f>
        <v>-</v>
      </c>
      <c r="E62" s="527" t="s">
        <v>256</v>
      </c>
      <c r="F62" s="530" t="n">
        <v>5</v>
      </c>
      <c r="G62" s="530"/>
      <c r="H62" s="477"/>
      <c r="J62" s="527" t="s">
        <v>342</v>
      </c>
    </row>
    <row r="63" customFormat="false" ht="9.75" hidden="false" customHeight="true" outlineLevel="0" collapsed="false">
      <c r="A63" s="527" t="str">
        <f aca="false">'12.lan'!D380</f>
        <v>COM Comoros </v>
      </c>
      <c r="B63" s="527" t="s">
        <v>343</v>
      </c>
      <c r="C63" s="530" t="n">
        <f aca="false">VLOOKUP(B63,'12.ppp data'!$C$3:$J$273,7,FALSE())</f>
        <v>2.1983905043498</v>
      </c>
      <c r="D63" s="530" t="str">
        <f aca="false">IF(VLOOKUP(B63,'12.ppp data'!$C$3:$J$273,8,FALSE())="est","est","-")</f>
        <v>-</v>
      </c>
      <c r="E63" s="527" t="s">
        <v>263</v>
      </c>
      <c r="F63" s="530" t="n">
        <v>3.70833333333333</v>
      </c>
      <c r="G63" s="530" t="s">
        <v>257</v>
      </c>
      <c r="H63" s="477"/>
      <c r="J63" s="527" t="s">
        <v>344</v>
      </c>
    </row>
    <row r="64" customFormat="false" ht="9.75" hidden="false" customHeight="true" outlineLevel="0" collapsed="false">
      <c r="A64" s="527" t="str">
        <f aca="false">'12.lan'!D381</f>
        <v>CPV Cape Verde </v>
      </c>
      <c r="B64" s="527" t="s">
        <v>345</v>
      </c>
      <c r="C64" s="530" t="n">
        <f aca="false">VLOOKUP(B64,'12.ppp data'!$C$3:$J$273,7,FALSE())</f>
        <v>2.40219140752974</v>
      </c>
      <c r="D64" s="530" t="str">
        <f aca="false">IF(VLOOKUP(B64,'12.ppp data'!$C$3:$J$273,8,FALSE())="est","est","-")</f>
        <v>-</v>
      </c>
      <c r="E64" s="527" t="s">
        <v>263</v>
      </c>
      <c r="F64" s="530" t="n">
        <v>3.70833333333333</v>
      </c>
      <c r="G64" s="530" t="s">
        <v>257</v>
      </c>
      <c r="H64" s="477"/>
      <c r="J64" s="527" t="s">
        <v>346</v>
      </c>
    </row>
    <row r="65" customFormat="false" ht="9.75" hidden="false" customHeight="true" outlineLevel="0" collapsed="false">
      <c r="A65" s="527" t="str">
        <f aca="false">'12.lan'!D382</f>
        <v>CRI Costa Rica </v>
      </c>
      <c r="B65" s="527" t="s">
        <v>347</v>
      </c>
      <c r="C65" s="530" t="n">
        <f aca="false">VLOOKUP(B65,'12.ppp data'!$C$3:$J$273,7,FALSE())</f>
        <v>1.60112437517919</v>
      </c>
      <c r="D65" s="530" t="str">
        <f aca="false">IF(VLOOKUP(B65,'12.ppp data'!$C$3:$J$273,8,FALSE())="est","est","-")</f>
        <v>-</v>
      </c>
      <c r="E65" s="527" t="s">
        <v>256</v>
      </c>
      <c r="F65" s="530" t="n">
        <v>3</v>
      </c>
      <c r="G65" s="530"/>
      <c r="H65" s="477"/>
      <c r="J65" s="527" t="s">
        <v>348</v>
      </c>
    </row>
    <row r="66" customFormat="false" ht="9.75" hidden="false" customHeight="true" outlineLevel="0" collapsed="false">
      <c r="A66" s="527" t="str">
        <f aca="false">'12.lan'!D383</f>
        <v>CUB Cuba </v>
      </c>
      <c r="B66" s="527" t="s">
        <v>349</v>
      </c>
      <c r="C66" s="530" t="n">
        <f aca="false">VLOOKUP(B66,'12.ppp data'!$C$3:$J$273,7,FALSE())</f>
        <v>1.96289944979353</v>
      </c>
      <c r="D66" s="530" t="str">
        <f aca="false">IF(VLOOKUP(B66,'12.ppp data'!$C$3:$J$273,8,FALSE())="est","est","-")</f>
        <v>est</v>
      </c>
      <c r="E66" s="527" t="s">
        <v>256</v>
      </c>
      <c r="F66" s="530" t="n">
        <v>3.42105263157895</v>
      </c>
      <c r="G66" s="530" t="s">
        <v>257</v>
      </c>
      <c r="H66" s="477"/>
      <c r="J66" s="527" t="s">
        <v>350</v>
      </c>
    </row>
    <row r="67" customFormat="false" ht="9.75" hidden="false" customHeight="true" outlineLevel="0" collapsed="false">
      <c r="A67" s="527" t="str">
        <f aca="false">'12.lan'!D384</f>
        <v>CUW Curaçao </v>
      </c>
      <c r="B67" s="527" t="s">
        <v>351</v>
      </c>
      <c r="C67" s="530" t="n">
        <f aca="false">VLOOKUP(B67,'12.ppp data'!$C$3:$J$273,7,FALSE())</f>
        <v>1.96289944979353</v>
      </c>
      <c r="D67" s="530" t="str">
        <f aca="false">IF(VLOOKUP(B67,'12.ppp data'!$C$3:$J$273,8,FALSE())="est","est","-")</f>
        <v>est</v>
      </c>
      <c r="E67" s="527" t="s">
        <v>256</v>
      </c>
      <c r="F67" s="530" t="n">
        <v>3.42105263157895</v>
      </c>
      <c r="G67" s="530" t="s">
        <v>257</v>
      </c>
      <c r="H67" s="477"/>
      <c r="J67" s="527" t="s">
        <v>352</v>
      </c>
    </row>
    <row r="68" customFormat="false" ht="9.75" hidden="false" customHeight="true" outlineLevel="0" collapsed="false">
      <c r="A68" s="527" t="str">
        <f aca="false">'12.lan'!D385</f>
        <v>CYM Cayman Islands </v>
      </c>
      <c r="B68" s="527" t="s">
        <v>353</v>
      </c>
      <c r="C68" s="530" t="n">
        <f aca="false">VLOOKUP(B68,'12.ppp data'!$C$3:$J$273,7,FALSE())</f>
        <v>1.96289944979353</v>
      </c>
      <c r="D68" s="530" t="str">
        <f aca="false">IF(VLOOKUP(B68,'12.ppp data'!$C$3:$J$273,8,FALSE())="est","est","-")</f>
        <v>est</v>
      </c>
      <c r="E68" s="527" t="s">
        <v>256</v>
      </c>
      <c r="F68" s="530" t="n">
        <v>3.42105263157895</v>
      </c>
      <c r="G68" s="530" t="s">
        <v>257</v>
      </c>
      <c r="H68" s="477"/>
      <c r="J68" s="527" t="s">
        <v>354</v>
      </c>
    </row>
    <row r="69" customFormat="false" ht="9.75" hidden="false" customHeight="true" outlineLevel="0" collapsed="false">
      <c r="A69" s="527" t="str">
        <f aca="false">'12.lan'!D386</f>
        <v>CYP Cyprus </v>
      </c>
      <c r="B69" s="527" t="s">
        <v>355</v>
      </c>
      <c r="C69" s="530" t="n">
        <f aca="false">VLOOKUP(B69,'12.ppp data'!$C$3:$J$273,7,FALSE())</f>
        <v>1.54086517177572</v>
      </c>
      <c r="D69" s="530" t="str">
        <f aca="false">IF(VLOOKUP(B69,'12.ppp data'!$C$3:$J$273,8,FALSE())="est","est","-")</f>
        <v>-</v>
      </c>
      <c r="E69" s="527" t="s">
        <v>260</v>
      </c>
      <c r="F69" s="530" t="n">
        <v>4.17857142857143</v>
      </c>
      <c r="G69" s="530" t="s">
        <v>257</v>
      </c>
      <c r="H69" s="477"/>
      <c r="J69" s="527" t="s">
        <v>356</v>
      </c>
    </row>
    <row r="70" customFormat="false" ht="9.75" hidden="false" customHeight="true" outlineLevel="0" collapsed="false">
      <c r="A70" s="527" t="str">
        <f aca="false">'12.lan'!D387</f>
        <v>CZE Czech Republic </v>
      </c>
      <c r="B70" s="527" t="s">
        <v>357</v>
      </c>
      <c r="C70" s="530" t="n">
        <f aca="false">VLOOKUP(B70,'12.ppp data'!$C$3:$J$273,7,FALSE())</f>
        <v>2.04587492829756</v>
      </c>
      <c r="D70" s="530" t="str">
        <f aca="false">IF(VLOOKUP(B70,'12.ppp data'!$C$3:$J$273,8,FALSE())="est","est","-")</f>
        <v>-</v>
      </c>
      <c r="E70" s="527" t="s">
        <v>266</v>
      </c>
      <c r="F70" s="530" t="n">
        <v>2</v>
      </c>
      <c r="G70" s="530"/>
      <c r="H70" s="477"/>
      <c r="J70" s="527" t="s">
        <v>358</v>
      </c>
    </row>
    <row r="71" customFormat="false" ht="9.75" hidden="false" customHeight="true" outlineLevel="0" collapsed="false">
      <c r="A71" s="527" t="str">
        <f aca="false">'12.lan'!D388</f>
        <v>DEU Germany </v>
      </c>
      <c r="B71" s="527" t="s">
        <v>359</v>
      </c>
      <c r="C71" s="530" t="n">
        <f aca="false">VLOOKUP(B71,'12.ppp data'!$C$3:$J$273,7,FALSE())</f>
        <v>1.28515872995474</v>
      </c>
      <c r="D71" s="530" t="str">
        <f aca="false">IF(VLOOKUP(B71,'12.ppp data'!$C$3:$J$273,8,FALSE())="est","est","-")</f>
        <v>-</v>
      </c>
      <c r="E71" s="527" t="s">
        <v>266</v>
      </c>
      <c r="F71" s="530" t="n">
        <v>1</v>
      </c>
      <c r="G71" s="530"/>
      <c r="H71" s="477"/>
      <c r="J71" s="527" t="s">
        <v>360</v>
      </c>
    </row>
    <row r="72" customFormat="false" ht="9.75" hidden="false" customHeight="true" outlineLevel="0" collapsed="false">
      <c r="A72" s="527" t="str">
        <f aca="false">'12.lan'!D389</f>
        <v>DJI Djibouti </v>
      </c>
      <c r="B72" s="527" t="s">
        <v>361</v>
      </c>
      <c r="C72" s="530" t="n">
        <f aca="false">VLOOKUP(B72,'12.ppp data'!$C$3:$J$273,7,FALSE())</f>
        <v>3.03256163278312</v>
      </c>
      <c r="D72" s="530" t="str">
        <f aca="false">IF(VLOOKUP(B72,'12.ppp data'!$C$3:$J$273,8,FALSE())="est","est","-")</f>
        <v>est</v>
      </c>
      <c r="E72" s="527" t="s">
        <v>263</v>
      </c>
      <c r="F72" s="530" t="n">
        <v>3.70833333333333</v>
      </c>
      <c r="G72" s="530" t="s">
        <v>257</v>
      </c>
      <c r="H72" s="477"/>
      <c r="J72" s="527" t="s">
        <v>362</v>
      </c>
    </row>
    <row r="73" customFormat="false" ht="9.75" hidden="false" customHeight="true" outlineLevel="0" collapsed="false">
      <c r="A73" s="527" t="str">
        <f aca="false">'12.lan'!D390</f>
        <v>DMA Dominica </v>
      </c>
      <c r="B73" s="527" t="s">
        <v>363</v>
      </c>
      <c r="C73" s="530" t="n">
        <f aca="false">VLOOKUP(B73,'12.ppp data'!$C$3:$J$273,7,FALSE())</f>
        <v>1.57631235380568</v>
      </c>
      <c r="D73" s="530" t="str">
        <f aca="false">IF(VLOOKUP(B73,'12.ppp data'!$C$3:$J$273,8,FALSE())="est","est","-")</f>
        <v>-</v>
      </c>
      <c r="E73" s="527" t="s">
        <v>256</v>
      </c>
      <c r="F73" s="530" t="n">
        <v>3.42105263157895</v>
      </c>
      <c r="G73" s="530" t="s">
        <v>257</v>
      </c>
      <c r="H73" s="477"/>
      <c r="J73" s="527" t="s">
        <v>364</v>
      </c>
    </row>
    <row r="74" customFormat="false" ht="9.75" hidden="false" customHeight="true" outlineLevel="0" collapsed="false">
      <c r="A74" s="527" t="str">
        <f aca="false">'12.lan'!D391</f>
        <v>DNK Denmark </v>
      </c>
      <c r="B74" s="527" t="s">
        <v>365</v>
      </c>
      <c r="C74" s="530" t="n">
        <f aca="false">VLOOKUP(B74,'12.ppp data'!$C$3:$J$273,7,FALSE())</f>
        <v>1.01296444948685</v>
      </c>
      <c r="D74" s="530" t="str">
        <f aca="false">IF(VLOOKUP(B74,'12.ppp data'!$C$3:$J$273,8,FALSE())="est","est","-")</f>
        <v>-</v>
      </c>
      <c r="E74" s="527" t="s">
        <v>266</v>
      </c>
      <c r="F74" s="530" t="n">
        <v>1</v>
      </c>
      <c r="G74" s="530"/>
      <c r="H74" s="477"/>
      <c r="J74" s="527" t="s">
        <v>366</v>
      </c>
    </row>
    <row r="75" customFormat="false" ht="9.75" hidden="false" customHeight="true" outlineLevel="0" collapsed="false">
      <c r="A75" s="527" t="str">
        <f aca="false">'12.lan'!D392</f>
        <v>DOM Dominican Republic </v>
      </c>
      <c r="B75" s="527" t="s">
        <v>367</v>
      </c>
      <c r="C75" s="530" t="n">
        <f aca="false">VLOOKUP(B75,'12.ppp data'!$C$3:$J$273,7,FALSE())</f>
        <v>2.52709449445265</v>
      </c>
      <c r="D75" s="530" t="str">
        <f aca="false">IF(VLOOKUP(B75,'12.ppp data'!$C$3:$J$273,8,FALSE())="est","est","-")</f>
        <v>-</v>
      </c>
      <c r="E75" s="527" t="s">
        <v>256</v>
      </c>
      <c r="F75" s="530" t="n">
        <v>2</v>
      </c>
      <c r="G75" s="530"/>
      <c r="H75" s="477"/>
      <c r="J75" s="527" t="s">
        <v>368</v>
      </c>
    </row>
    <row r="76" customFormat="false" ht="9.75" hidden="false" customHeight="true" outlineLevel="0" collapsed="false">
      <c r="A76" s="527" t="str">
        <f aca="false">'12.lan'!D393</f>
        <v>DZA Algeria </v>
      </c>
      <c r="B76" s="527" t="s">
        <v>369</v>
      </c>
      <c r="C76" s="530" t="n">
        <f aca="false">VLOOKUP(B76,'12.ppp data'!$C$3:$J$273,7,FALSE())</f>
        <v>4.16426228483382</v>
      </c>
      <c r="D76" s="530" t="str">
        <f aca="false">IF(VLOOKUP(B76,'12.ppp data'!$C$3:$J$273,8,FALSE())="est","est","-")</f>
        <v>-</v>
      </c>
      <c r="E76" s="527" t="s">
        <v>263</v>
      </c>
      <c r="F76" s="530" t="n">
        <v>5</v>
      </c>
      <c r="G76" s="530"/>
      <c r="H76" s="477"/>
      <c r="J76" s="527" t="s">
        <v>370</v>
      </c>
    </row>
    <row r="77" customFormat="false" ht="9.75" hidden="false" customHeight="true" outlineLevel="0" collapsed="false">
      <c r="A77" s="527" t="str">
        <f aca="false">'12.lan'!D394</f>
        <v>ECU Ecuador </v>
      </c>
      <c r="B77" s="527" t="s">
        <v>371</v>
      </c>
      <c r="C77" s="530" t="n">
        <f aca="false">VLOOKUP(B77,'12.ppp data'!$C$3:$J$273,7,FALSE())</f>
        <v>2.11677387007622</v>
      </c>
      <c r="D77" s="530" t="str">
        <f aca="false">IF(VLOOKUP(B77,'12.ppp data'!$C$3:$J$273,8,FALSE())="est","est","-")</f>
        <v>-</v>
      </c>
      <c r="E77" s="527" t="s">
        <v>256</v>
      </c>
      <c r="F77" s="530" t="n">
        <v>3</v>
      </c>
      <c r="G77" s="530"/>
      <c r="H77" s="477"/>
      <c r="J77" s="527" t="s">
        <v>372</v>
      </c>
    </row>
    <row r="78" customFormat="false" ht="9.75" hidden="false" customHeight="true" outlineLevel="0" collapsed="false">
      <c r="A78" s="527" t="str">
        <f aca="false">'12.lan'!D395</f>
        <v>EGY Egypt </v>
      </c>
      <c r="B78" s="527" t="s">
        <v>373</v>
      </c>
      <c r="C78" s="530" t="n">
        <f aca="false">VLOOKUP(B78,'12.ppp data'!$C$3:$J$273,7,FALSE())</f>
        <v>6.55173951984856</v>
      </c>
      <c r="D78" s="530" t="str">
        <f aca="false">IF(VLOOKUP(B78,'12.ppp data'!$C$3:$J$273,8,FALSE())="est","est","-")</f>
        <v>-</v>
      </c>
      <c r="E78" s="527" t="s">
        <v>263</v>
      </c>
      <c r="F78" s="530" t="n">
        <v>5</v>
      </c>
      <c r="G78" s="530"/>
      <c r="H78" s="477"/>
      <c r="J78" s="527" t="s">
        <v>374</v>
      </c>
    </row>
    <row r="79" customFormat="false" ht="9.75" hidden="false" customHeight="true" outlineLevel="0" collapsed="false">
      <c r="A79" s="527" t="str">
        <f aca="false">'12.lan'!D396</f>
        <v>ERI Eritrea </v>
      </c>
      <c r="B79" s="527" t="s">
        <v>375</v>
      </c>
      <c r="C79" s="530" t="n">
        <f aca="false">VLOOKUP(B79,'12.ppp data'!$C$3:$J$273,7,FALSE())</f>
        <v>3.03256163278312</v>
      </c>
      <c r="D79" s="530" t="str">
        <f aca="false">IF(VLOOKUP(B79,'12.ppp data'!$C$3:$J$273,8,FALSE())="est","est","-")</f>
        <v>est</v>
      </c>
      <c r="E79" s="527" t="s">
        <v>263</v>
      </c>
      <c r="F79" s="530" t="n">
        <v>3.70833333333333</v>
      </c>
      <c r="G79" s="530" t="s">
        <v>257</v>
      </c>
      <c r="H79" s="477"/>
      <c r="J79" s="527" t="s">
        <v>376</v>
      </c>
    </row>
    <row r="80" customFormat="false" ht="9.75" hidden="false" customHeight="true" outlineLevel="0" collapsed="false">
      <c r="A80" s="527" t="str">
        <f aca="false">'12.lan'!D397</f>
        <v>ESP Spain </v>
      </c>
      <c r="B80" s="527" t="s">
        <v>377</v>
      </c>
      <c r="C80" s="530" t="n">
        <f aca="false">VLOOKUP(B80,'12.ppp data'!$C$3:$J$273,7,FALSE())</f>
        <v>1.52447390405571</v>
      </c>
      <c r="D80" s="530" t="str">
        <f aca="false">IF(VLOOKUP(B80,'12.ppp data'!$C$3:$J$273,8,FALSE())="est","est","-")</f>
        <v>-</v>
      </c>
      <c r="E80" s="527" t="s">
        <v>266</v>
      </c>
      <c r="F80" s="530" t="n">
        <v>2</v>
      </c>
      <c r="G80" s="530"/>
      <c r="H80" s="477"/>
      <c r="J80" s="527" t="s">
        <v>378</v>
      </c>
    </row>
    <row r="81" customFormat="false" ht="9.75" hidden="false" customHeight="true" outlineLevel="0" collapsed="false">
      <c r="A81" s="527" t="str">
        <f aca="false">'12.lan'!D398</f>
        <v>EST Estonia </v>
      </c>
      <c r="B81" s="527" t="s">
        <v>379</v>
      </c>
      <c r="C81" s="530" t="n">
        <f aca="false">VLOOKUP(B81,'12.ppp data'!$C$3:$J$273,7,FALSE())</f>
        <v>1.80932926354871</v>
      </c>
      <c r="D81" s="530" t="str">
        <f aca="false">IF(VLOOKUP(B81,'12.ppp data'!$C$3:$J$273,8,FALSE())="est","est","-")</f>
        <v>-</v>
      </c>
      <c r="E81" s="527" t="s">
        <v>266</v>
      </c>
      <c r="F81" s="530" t="n">
        <v>1</v>
      </c>
      <c r="G81" s="530"/>
      <c r="H81" s="477"/>
      <c r="J81" s="527" t="s">
        <v>380</v>
      </c>
    </row>
    <row r="82" customFormat="false" ht="9.75" hidden="false" customHeight="true" outlineLevel="0" collapsed="false">
      <c r="A82" s="527" t="str">
        <f aca="false">'12.lan'!D399</f>
        <v>ETH Ethiopia </v>
      </c>
      <c r="B82" s="527" t="s">
        <v>381</v>
      </c>
      <c r="C82" s="530" t="n">
        <f aca="false">VLOOKUP(B82,'12.ppp data'!$C$3:$J$273,7,FALSE())</f>
        <v>2.95615597273597</v>
      </c>
      <c r="D82" s="530" t="str">
        <f aca="false">IF(VLOOKUP(B82,'12.ppp data'!$C$3:$J$273,8,FALSE())="est","est","-")</f>
        <v>-</v>
      </c>
      <c r="E82" s="527" t="s">
        <v>263</v>
      </c>
      <c r="F82" s="530" t="n">
        <v>3</v>
      </c>
      <c r="G82" s="530"/>
      <c r="H82" s="477"/>
      <c r="J82" s="527" t="s">
        <v>382</v>
      </c>
    </row>
    <row r="83" customFormat="false" ht="9.75" hidden="false" customHeight="true" outlineLevel="0" collapsed="false">
      <c r="A83" s="527" t="str">
        <f aca="false">'12.lan'!D400</f>
        <v>FIN Finland </v>
      </c>
      <c r="B83" s="527" t="s">
        <v>383</v>
      </c>
      <c r="C83" s="530" t="n">
        <f aca="false">VLOOKUP(B83,'12.ppp data'!$C$3:$J$273,7,FALSE())</f>
        <v>1.11427317075345</v>
      </c>
      <c r="D83" s="530" t="str">
        <f aca="false">IF(VLOOKUP(B83,'12.ppp data'!$C$3:$J$273,8,FALSE())="est","est","-")</f>
        <v>-</v>
      </c>
      <c r="E83" s="527" t="s">
        <v>266</v>
      </c>
      <c r="F83" s="530" t="n">
        <v>1</v>
      </c>
      <c r="G83" s="530"/>
      <c r="H83" s="477"/>
      <c r="J83" s="527" t="s">
        <v>384</v>
      </c>
    </row>
    <row r="84" customFormat="false" ht="9.75" hidden="false" customHeight="true" outlineLevel="0" collapsed="false">
      <c r="A84" s="527" t="str">
        <f aca="false">'12.lan'!D401</f>
        <v>FJI Fiji </v>
      </c>
      <c r="B84" s="527" t="s">
        <v>385</v>
      </c>
      <c r="C84" s="530" t="n">
        <f aca="false">VLOOKUP(B84,'12.ppp data'!$C$3:$J$273,7,FALSE())</f>
        <v>1.91198514556138</v>
      </c>
      <c r="D84" s="530" t="str">
        <f aca="false">IF(VLOOKUP(B84,'12.ppp data'!$C$3:$J$273,8,FALSE())="est","est","-")</f>
        <v>-</v>
      </c>
      <c r="E84" s="527" t="s">
        <v>277</v>
      </c>
      <c r="F84" s="530" t="n">
        <v>3</v>
      </c>
      <c r="G84" s="530" t="s">
        <v>257</v>
      </c>
      <c r="H84" s="477"/>
      <c r="J84" s="527" t="s">
        <v>386</v>
      </c>
    </row>
    <row r="85" customFormat="false" ht="9.75" hidden="false" customHeight="true" outlineLevel="0" collapsed="false">
      <c r="A85" s="527" t="str">
        <f aca="false">'12.lan'!D402</f>
        <v>FRA France </v>
      </c>
      <c r="B85" s="527" t="s">
        <v>387</v>
      </c>
      <c r="C85" s="530" t="n">
        <f aca="false">VLOOKUP(B85,'12.ppp data'!$C$3:$J$273,7,FALSE())</f>
        <v>1.25289418556866</v>
      </c>
      <c r="D85" s="530" t="str">
        <f aca="false">IF(VLOOKUP(B85,'12.ppp data'!$C$3:$J$273,8,FALSE())="est","est","-")</f>
        <v>-</v>
      </c>
      <c r="E85" s="527" t="s">
        <v>266</v>
      </c>
      <c r="F85" s="530" t="n">
        <v>1</v>
      </c>
      <c r="G85" s="530"/>
      <c r="H85" s="477"/>
      <c r="J85" s="527" t="s">
        <v>388</v>
      </c>
    </row>
    <row r="86" customFormat="false" ht="9.75" hidden="false" customHeight="true" outlineLevel="0" collapsed="false">
      <c r="A86" s="527" t="str">
        <f aca="false">'12.lan'!D403</f>
        <v>FRO Faroe Islands </v>
      </c>
      <c r="B86" s="527" t="s">
        <v>389</v>
      </c>
      <c r="C86" s="530" t="n">
        <f aca="false">VLOOKUP(B86,'12.ppp data'!$C$3:$J$273,7,FALSE())</f>
        <v>1.93286164519776</v>
      </c>
      <c r="D86" s="530" t="str">
        <f aca="false">IF(VLOOKUP(B86,'12.ppp data'!$C$3:$J$273,8,FALSE())="est","est","-")</f>
        <v>est</v>
      </c>
      <c r="E86" s="527" t="s">
        <v>266</v>
      </c>
      <c r="F86" s="530" t="n">
        <v>2</v>
      </c>
      <c r="G86" s="530" t="s">
        <v>257</v>
      </c>
      <c r="H86" s="477"/>
      <c r="J86" s="527" t="s">
        <v>390</v>
      </c>
    </row>
    <row r="87" customFormat="false" ht="9.75" hidden="false" customHeight="true" outlineLevel="0" collapsed="false">
      <c r="A87" s="527" t="str">
        <f aca="false">'12.lan'!D404</f>
        <v>FSM Micronesia, Federated States of </v>
      </c>
      <c r="B87" s="527" t="s">
        <v>391</v>
      </c>
      <c r="C87" s="530" t="n">
        <f aca="false">VLOOKUP(B87,'12.ppp data'!$C$3:$J$273,7,FALSE())</f>
        <v>1.28354960501633</v>
      </c>
      <c r="D87" s="530" t="str">
        <f aca="false">IF(VLOOKUP(B87,'12.ppp data'!$C$3:$J$273,8,FALSE())="est","est","-")</f>
        <v>-</v>
      </c>
      <c r="E87" s="527" t="s">
        <v>277</v>
      </c>
      <c r="F87" s="530" t="n">
        <v>3</v>
      </c>
      <c r="G87" s="530" t="s">
        <v>257</v>
      </c>
      <c r="H87" s="477"/>
      <c r="J87" s="527" t="s">
        <v>392</v>
      </c>
    </row>
    <row r="88" customFormat="false" ht="9.75" hidden="false" customHeight="true" outlineLevel="0" collapsed="false">
      <c r="A88" s="527" t="str">
        <f aca="false">'12.lan'!D405</f>
        <v>GAB Gabon </v>
      </c>
      <c r="B88" s="527" t="s">
        <v>393</v>
      </c>
      <c r="C88" s="530" t="n">
        <f aca="false">VLOOKUP(B88,'12.ppp data'!$C$3:$J$273,7,FALSE())</f>
        <v>2.84334462825291</v>
      </c>
      <c r="D88" s="530" t="str">
        <f aca="false">IF(VLOOKUP(B88,'12.ppp data'!$C$3:$J$273,8,FALSE())="est","est","-")</f>
        <v>-</v>
      </c>
      <c r="E88" s="527" t="s">
        <v>263</v>
      </c>
      <c r="F88" s="530" t="n">
        <v>3.70833333333333</v>
      </c>
      <c r="G88" s="530" t="s">
        <v>257</v>
      </c>
      <c r="H88" s="477"/>
      <c r="J88" s="527" t="s">
        <v>394</v>
      </c>
    </row>
    <row r="89" customFormat="false" ht="9.75" hidden="false" customHeight="true" outlineLevel="0" collapsed="false">
      <c r="A89" s="527" t="str">
        <f aca="false">'12.lan'!D406</f>
        <v>GBR United Kingdom </v>
      </c>
      <c r="B89" s="527" t="s">
        <v>395</v>
      </c>
      <c r="C89" s="530" t="n">
        <f aca="false">VLOOKUP(B89,'12.ppp data'!$C$3:$J$273,7,FALSE())</f>
        <v>1.2471403241674</v>
      </c>
      <c r="D89" s="530" t="str">
        <f aca="false">IF(VLOOKUP(B89,'12.ppp data'!$C$3:$J$273,8,FALSE())="est","est","-")</f>
        <v>-</v>
      </c>
      <c r="E89" s="527" t="s">
        <v>266</v>
      </c>
      <c r="F89" s="530" t="n">
        <v>3</v>
      </c>
      <c r="G89" s="530"/>
      <c r="H89" s="477"/>
      <c r="J89" s="527" t="s">
        <v>396</v>
      </c>
    </row>
    <row r="90" customFormat="false" ht="9.75" hidden="false" customHeight="true" outlineLevel="0" collapsed="false">
      <c r="A90" s="527" t="str">
        <f aca="false">'12.lan'!D407</f>
        <v>GEO Georgia </v>
      </c>
      <c r="B90" s="527" t="s">
        <v>397</v>
      </c>
      <c r="C90" s="530" t="n">
        <f aca="false">VLOOKUP(B90,'12.ppp data'!$C$3:$J$273,7,FALSE())</f>
        <v>2.94235866883313</v>
      </c>
      <c r="D90" s="530" t="str">
        <f aca="false">IF(VLOOKUP(B90,'12.ppp data'!$C$3:$J$273,8,FALSE())="est","est","-")</f>
        <v>-</v>
      </c>
      <c r="E90" s="527" t="s">
        <v>260</v>
      </c>
      <c r="F90" s="530" t="n">
        <v>3</v>
      </c>
      <c r="G90" s="530"/>
      <c r="H90" s="477"/>
      <c r="J90" s="527" t="s">
        <v>398</v>
      </c>
    </row>
    <row r="91" customFormat="false" ht="9.75" hidden="false" customHeight="true" outlineLevel="0" collapsed="false">
      <c r="A91" s="527" t="str">
        <f aca="false">'12.lan'!D408</f>
        <v>GHA Ghana </v>
      </c>
      <c r="B91" s="527" t="s">
        <v>399</v>
      </c>
      <c r="C91" s="530" t="n">
        <f aca="false">VLOOKUP(B91,'12.ppp data'!$C$3:$J$273,7,FALSE())</f>
        <v>3.21490765229489</v>
      </c>
      <c r="D91" s="530" t="str">
        <f aca="false">IF(VLOOKUP(B91,'12.ppp data'!$C$3:$J$273,8,FALSE())="est","est","-")</f>
        <v>-</v>
      </c>
      <c r="E91" s="527" t="s">
        <v>263</v>
      </c>
      <c r="F91" s="530" t="n">
        <v>3</v>
      </c>
      <c r="G91" s="530"/>
      <c r="H91" s="477"/>
      <c r="J91" s="527" t="s">
        <v>400</v>
      </c>
    </row>
    <row r="92" customFormat="false" ht="9.75" hidden="false" customHeight="true" outlineLevel="0" collapsed="false">
      <c r="A92" s="527" t="str">
        <f aca="false">'12.lan'!D409</f>
        <v>GIB Gibraltar </v>
      </c>
      <c r="B92" s="527" t="s">
        <v>401</v>
      </c>
      <c r="C92" s="530" t="n">
        <f aca="false">VLOOKUP(B92,'12.ppp data'!$C$3:$J$273,7,FALSE())</f>
        <v>1.93286164519776</v>
      </c>
      <c r="D92" s="530" t="str">
        <f aca="false">IF(VLOOKUP(B92,'12.ppp data'!$C$3:$J$273,8,FALSE())="est","est","-")</f>
        <v>est</v>
      </c>
      <c r="E92" s="527" t="s">
        <v>266</v>
      </c>
      <c r="F92" s="530" t="n">
        <v>2</v>
      </c>
      <c r="G92" s="530" t="s">
        <v>257</v>
      </c>
      <c r="H92" s="477"/>
      <c r="J92" s="527" t="s">
        <v>402</v>
      </c>
    </row>
    <row r="93" customFormat="false" ht="9.75" hidden="false" customHeight="true" outlineLevel="0" collapsed="false">
      <c r="A93" s="527" t="str">
        <f aca="false">'12.lan'!D410</f>
        <v>GIN Guinea </v>
      </c>
      <c r="B93" s="527" t="s">
        <v>403</v>
      </c>
      <c r="C93" s="530" t="n">
        <f aca="false">VLOOKUP(B93,'12.ppp data'!$C$3:$J$273,7,FALSE())</f>
        <v>3.01592206857968</v>
      </c>
      <c r="D93" s="530" t="str">
        <f aca="false">IF(VLOOKUP(B93,'12.ppp data'!$C$3:$J$273,8,FALSE())="est","est","-")</f>
        <v>-</v>
      </c>
      <c r="E93" s="527" t="s">
        <v>263</v>
      </c>
      <c r="F93" s="530" t="n">
        <v>3.70833333333333</v>
      </c>
      <c r="G93" s="530" t="s">
        <v>257</v>
      </c>
      <c r="H93" s="477"/>
      <c r="J93" s="527" t="s">
        <v>404</v>
      </c>
    </row>
    <row r="94" customFormat="false" ht="9.75" hidden="false" customHeight="true" outlineLevel="0" collapsed="false">
      <c r="A94" s="527" t="str">
        <f aca="false">'12.lan'!D411</f>
        <v>GMB Gambia </v>
      </c>
      <c r="B94" s="527" t="s">
        <v>405</v>
      </c>
      <c r="C94" s="530" t="n">
        <f aca="false">VLOOKUP(B94,'12.ppp data'!$C$3:$J$273,7,FALSE())</f>
        <v>3.86717588280632</v>
      </c>
      <c r="D94" s="530" t="str">
        <f aca="false">IF(VLOOKUP(B94,'12.ppp data'!$C$3:$J$273,8,FALSE())="est","est","-")</f>
        <v>-</v>
      </c>
      <c r="E94" s="527" t="s">
        <v>263</v>
      </c>
      <c r="F94" s="530" t="n">
        <v>3.70833333333333</v>
      </c>
      <c r="G94" s="530" t="s">
        <v>257</v>
      </c>
      <c r="H94" s="477"/>
      <c r="J94" s="527" t="s">
        <v>406</v>
      </c>
    </row>
    <row r="95" customFormat="false" ht="9.75" hidden="false" customHeight="true" outlineLevel="0" collapsed="false">
      <c r="A95" s="527" t="str">
        <f aca="false">'12.lan'!D412</f>
        <v>GNB Guinea-Bissau </v>
      </c>
      <c r="B95" s="527" t="s">
        <v>407</v>
      </c>
      <c r="C95" s="530" t="n">
        <f aca="false">VLOOKUP(B95,'12.ppp data'!$C$3:$J$273,7,FALSE())</f>
        <v>2.65133912964036</v>
      </c>
      <c r="D95" s="530" t="str">
        <f aca="false">IF(VLOOKUP(B95,'12.ppp data'!$C$3:$J$273,8,FALSE())="est","est","-")</f>
        <v>-</v>
      </c>
      <c r="E95" s="527" t="s">
        <v>263</v>
      </c>
      <c r="F95" s="530" t="n">
        <v>3.70833333333333</v>
      </c>
      <c r="G95" s="530" t="s">
        <v>257</v>
      </c>
      <c r="H95" s="477"/>
      <c r="I95" s="533"/>
      <c r="J95" s="527" t="s">
        <v>408</v>
      </c>
    </row>
    <row r="96" customFormat="false" ht="9.75" hidden="false" customHeight="true" outlineLevel="0" collapsed="false">
      <c r="A96" s="527" t="str">
        <f aca="false">'12.lan'!D413</f>
        <v>GNQ Equatorial Guinea </v>
      </c>
      <c r="B96" s="527" t="s">
        <v>409</v>
      </c>
      <c r="C96" s="530" t="n">
        <f aca="false">VLOOKUP(B96,'12.ppp data'!$C$3:$J$273,7,FALSE())</f>
        <v>2.84478640455259</v>
      </c>
      <c r="D96" s="530" t="str">
        <f aca="false">IF(VLOOKUP(B96,'12.ppp data'!$C$3:$J$273,8,FALSE())="est","est","-")</f>
        <v>-</v>
      </c>
      <c r="E96" s="527" t="s">
        <v>263</v>
      </c>
      <c r="F96" s="530" t="n">
        <v>3.70833333333333</v>
      </c>
      <c r="G96" s="530" t="s">
        <v>257</v>
      </c>
      <c r="H96" s="477"/>
      <c r="J96" s="527" t="s">
        <v>410</v>
      </c>
    </row>
    <row r="97" customFormat="false" ht="9.75" hidden="false" customHeight="true" outlineLevel="0" collapsed="false">
      <c r="A97" s="527" t="str">
        <f aca="false">'12.lan'!D414</f>
        <v>GRC Greece </v>
      </c>
      <c r="B97" s="527" t="s">
        <v>411</v>
      </c>
      <c r="C97" s="530" t="n">
        <f aca="false">VLOOKUP(B97,'12.ppp data'!$C$3:$J$273,7,FALSE())</f>
        <v>1.68363206578287</v>
      </c>
      <c r="D97" s="530" t="str">
        <f aca="false">IF(VLOOKUP(B97,'12.ppp data'!$C$3:$J$273,8,FALSE())="est","est","-")</f>
        <v>-</v>
      </c>
      <c r="E97" s="527" t="s">
        <v>266</v>
      </c>
      <c r="F97" s="530" t="n">
        <v>5</v>
      </c>
      <c r="G97" s="530"/>
      <c r="H97" s="477"/>
      <c r="J97" s="527" t="s">
        <v>412</v>
      </c>
    </row>
    <row r="98" customFormat="false" ht="9.75" hidden="false" customHeight="true" outlineLevel="0" collapsed="false">
      <c r="A98" s="527" t="str">
        <f aca="false">'12.lan'!D415</f>
        <v>GRD Grenada </v>
      </c>
      <c r="B98" s="527" t="s">
        <v>413</v>
      </c>
      <c r="C98" s="530" t="n">
        <f aca="false">VLOOKUP(B98,'12.ppp data'!$C$3:$J$273,7,FALSE())</f>
        <v>1.62454270208294</v>
      </c>
      <c r="D98" s="530" t="str">
        <f aca="false">IF(VLOOKUP(B98,'12.ppp data'!$C$3:$J$273,8,FALSE())="est","est","-")</f>
        <v>-</v>
      </c>
      <c r="E98" s="527" t="s">
        <v>256</v>
      </c>
      <c r="F98" s="530" t="n">
        <v>3.42105263157895</v>
      </c>
      <c r="G98" s="530" t="s">
        <v>257</v>
      </c>
      <c r="H98" s="477"/>
      <c r="J98" s="527" t="s">
        <v>414</v>
      </c>
    </row>
    <row r="99" customFormat="false" ht="9.75" hidden="false" customHeight="true" outlineLevel="0" collapsed="false">
      <c r="A99" s="527" t="str">
        <f aca="false">'12.lan'!D416</f>
        <v>GRL Greenland </v>
      </c>
      <c r="B99" s="527" t="s">
        <v>415</v>
      </c>
      <c r="C99" s="530" t="n">
        <f aca="false">VLOOKUP(B99,'12.ppp data'!$C$3:$J$273,7,FALSE())</f>
        <v>1.96289944979353</v>
      </c>
      <c r="D99" s="530" t="str">
        <f aca="false">IF(VLOOKUP(B99,'12.ppp data'!$C$3:$J$273,8,FALSE())="est","est","-")</f>
        <v>est</v>
      </c>
      <c r="E99" s="527" t="s">
        <v>256</v>
      </c>
      <c r="F99" s="530" t="n">
        <v>3.42105263157895</v>
      </c>
      <c r="G99" s="530" t="s">
        <v>257</v>
      </c>
      <c r="H99" s="477"/>
      <c r="J99" s="527" t="s">
        <v>416</v>
      </c>
    </row>
    <row r="100" customFormat="false" ht="9.75" hidden="false" customHeight="true" outlineLevel="0" collapsed="false">
      <c r="A100" s="527" t="str">
        <f aca="false">'12.lan'!D417</f>
        <v>GTM Guatemala </v>
      </c>
      <c r="B100" s="527" t="s">
        <v>417</v>
      </c>
      <c r="C100" s="530" t="n">
        <f aca="false">VLOOKUP(B100,'12.ppp data'!$C$3:$J$273,7,FALSE())</f>
        <v>2.01278962314171</v>
      </c>
      <c r="D100" s="530" t="str">
        <f aca="false">IF(VLOOKUP(B100,'12.ppp data'!$C$3:$J$273,8,FALSE())="est","est","-")</f>
        <v>-</v>
      </c>
      <c r="E100" s="527" t="s">
        <v>256</v>
      </c>
      <c r="F100" s="530" t="n">
        <v>5</v>
      </c>
      <c r="G100" s="530"/>
      <c r="H100" s="477"/>
      <c r="J100" s="527" t="s">
        <v>418</v>
      </c>
    </row>
    <row r="101" customFormat="false" ht="9.75" hidden="false" customHeight="true" outlineLevel="0" collapsed="false">
      <c r="A101" s="527" t="str">
        <f aca="false">'12.lan'!D418</f>
        <v>GUM Guam </v>
      </c>
      <c r="B101" s="527" t="s">
        <v>419</v>
      </c>
      <c r="C101" s="530" t="n">
        <f aca="false">VLOOKUP(B101,'12.ppp data'!$C$3:$J$273,7,FALSE())</f>
        <v>1.35633083709363</v>
      </c>
      <c r="D101" s="530" t="str">
        <f aca="false">IF(VLOOKUP(B101,'12.ppp data'!$C$3:$J$273,8,FALSE())="est","est","-")</f>
        <v>est</v>
      </c>
      <c r="E101" s="527" t="s">
        <v>277</v>
      </c>
      <c r="F101" s="530" t="n">
        <v>3</v>
      </c>
      <c r="G101" s="530" t="s">
        <v>257</v>
      </c>
      <c r="H101" s="477"/>
      <c r="J101" s="527" t="s">
        <v>420</v>
      </c>
    </row>
    <row r="102" customFormat="false" ht="9.75" hidden="false" customHeight="true" outlineLevel="0" collapsed="false">
      <c r="A102" s="527" t="str">
        <f aca="false">'12.lan'!D419</f>
        <v>GUY Guyana </v>
      </c>
      <c r="B102" s="527" t="s">
        <v>421</v>
      </c>
      <c r="C102" s="530" t="n">
        <f aca="false">VLOOKUP(B102,'12.ppp data'!$C$3:$J$273,7,FALSE())</f>
        <v>1.87836494216092</v>
      </c>
      <c r="D102" s="530" t="str">
        <f aca="false">IF(VLOOKUP(B102,'12.ppp data'!$C$3:$J$273,8,FALSE())="est","est","-")</f>
        <v>-</v>
      </c>
      <c r="E102" s="527" t="s">
        <v>256</v>
      </c>
      <c r="F102" s="530" t="n">
        <v>3.42105263157895</v>
      </c>
      <c r="G102" s="530" t="s">
        <v>257</v>
      </c>
      <c r="H102" s="477"/>
      <c r="J102" s="527" t="s">
        <v>422</v>
      </c>
    </row>
    <row r="103" customFormat="false" ht="9.75" hidden="false" customHeight="true" outlineLevel="0" collapsed="false">
      <c r="A103" s="527" t="str">
        <f aca="false">'12.lan'!D420</f>
        <v>HKG Hong Kong </v>
      </c>
      <c r="B103" s="527" t="s">
        <v>423</v>
      </c>
      <c r="C103" s="530" t="n">
        <f aca="false">VLOOKUP(B103,'12.ppp data'!$C$3:$J$273,7,FALSE())</f>
        <v>1.50451152741912</v>
      </c>
      <c r="D103" s="530" t="str">
        <f aca="false">IF(VLOOKUP(B103,'12.ppp data'!$C$3:$J$273,8,FALSE())="est","est","-")</f>
        <v>-</v>
      </c>
      <c r="E103" s="527" t="s">
        <v>260</v>
      </c>
      <c r="F103" s="530" t="n">
        <v>4</v>
      </c>
      <c r="G103" s="530"/>
      <c r="H103" s="477"/>
      <c r="J103" s="527" t="s">
        <v>424</v>
      </c>
    </row>
    <row r="104" customFormat="false" ht="9.75" hidden="false" customHeight="true" outlineLevel="0" collapsed="false">
      <c r="A104" s="527" t="str">
        <f aca="false">'12.lan'!D421</f>
        <v>HND Honduras </v>
      </c>
      <c r="B104" s="527" t="s">
        <v>425</v>
      </c>
      <c r="C104" s="530" t="n">
        <f aca="false">VLOOKUP(B104,'12.ppp data'!$C$3:$J$273,7,FALSE())</f>
        <v>2.2357860143795</v>
      </c>
      <c r="D104" s="530" t="str">
        <f aca="false">IF(VLOOKUP(B104,'12.ppp data'!$C$3:$J$273,8,FALSE())="est","est","-")</f>
        <v>-</v>
      </c>
      <c r="E104" s="527" t="s">
        <v>256</v>
      </c>
      <c r="F104" s="530" t="n">
        <v>4</v>
      </c>
      <c r="G104" s="530"/>
      <c r="H104" s="477"/>
      <c r="J104" s="527" t="s">
        <v>426</v>
      </c>
    </row>
    <row r="105" customFormat="false" ht="9.75" hidden="false" customHeight="true" outlineLevel="0" collapsed="false">
      <c r="A105" s="527" t="str">
        <f aca="false">'12.lan'!D422</f>
        <v>HRV Croatia </v>
      </c>
      <c r="B105" s="527" t="s">
        <v>427</v>
      </c>
      <c r="C105" s="530" t="n">
        <f aca="false">VLOOKUP(B105,'12.ppp data'!$C$3:$J$273,7,FALSE())</f>
        <v>2.14327791531878</v>
      </c>
      <c r="D105" s="530" t="str">
        <f aca="false">IF(VLOOKUP(B105,'12.ppp data'!$C$3:$J$273,8,FALSE())="est","est","-")</f>
        <v>-</v>
      </c>
      <c r="E105" s="527" t="s">
        <v>266</v>
      </c>
      <c r="F105" s="530" t="n">
        <v>2</v>
      </c>
      <c r="G105" s="530"/>
      <c r="H105" s="477"/>
      <c r="J105" s="527" t="s">
        <v>428</v>
      </c>
    </row>
    <row r="106" customFormat="false" ht="9.75" hidden="false" customHeight="true" outlineLevel="0" collapsed="false">
      <c r="A106" s="527" t="str">
        <f aca="false">'12.lan'!D423</f>
        <v>HTI Haiti </v>
      </c>
      <c r="B106" s="527" t="s">
        <v>429</v>
      </c>
      <c r="C106" s="530" t="n">
        <f aca="false">VLOOKUP(B106,'12.ppp data'!$C$3:$J$273,7,FALSE())</f>
        <v>2.61499172092398</v>
      </c>
      <c r="D106" s="530" t="str">
        <f aca="false">IF(VLOOKUP(B106,'12.ppp data'!$C$3:$J$273,8,FALSE())="est","est","-")</f>
        <v>-</v>
      </c>
      <c r="E106" s="527" t="s">
        <v>256</v>
      </c>
      <c r="F106" s="530" t="n">
        <v>3.42105263157895</v>
      </c>
      <c r="G106" s="530" t="s">
        <v>257</v>
      </c>
      <c r="H106" s="477"/>
      <c r="J106" s="527" t="s">
        <v>430</v>
      </c>
    </row>
    <row r="107" customFormat="false" ht="9.75" hidden="false" customHeight="true" outlineLevel="0" collapsed="false">
      <c r="A107" s="527" t="str">
        <f aca="false">'12.lan'!D424</f>
        <v>HUN Hungary </v>
      </c>
      <c r="B107" s="527" t="s">
        <v>431</v>
      </c>
      <c r="C107" s="530" t="n">
        <f aca="false">VLOOKUP(B107,'12.ppp data'!$C$3:$J$273,7,FALSE())</f>
        <v>2.25034533624825</v>
      </c>
      <c r="D107" s="530" t="str">
        <f aca="false">IF(VLOOKUP(B107,'12.ppp data'!$C$3:$J$273,8,FALSE())="est","est","-")</f>
        <v>-</v>
      </c>
      <c r="E107" s="527" t="s">
        <v>266</v>
      </c>
      <c r="F107" s="530" t="n">
        <v>2</v>
      </c>
      <c r="G107" s="530"/>
      <c r="H107" s="477"/>
      <c r="J107" s="527" t="s">
        <v>432</v>
      </c>
    </row>
    <row r="108" customFormat="false" ht="9.75" hidden="false" customHeight="true" outlineLevel="0" collapsed="false">
      <c r="A108" s="527" t="str">
        <f aca="false">'12.lan'!D425</f>
        <v>IDN Indonesia </v>
      </c>
      <c r="B108" s="527" t="s">
        <v>433</v>
      </c>
      <c r="C108" s="530" t="n">
        <f aca="false">VLOOKUP(B108,'12.ppp data'!$C$3:$J$273,7,FALSE())</f>
        <v>3.59491487646491</v>
      </c>
      <c r="D108" s="530" t="str">
        <f aca="false">IF(VLOOKUP(B108,'12.ppp data'!$C$3:$J$273,8,FALSE())="est","est","-")</f>
        <v>-</v>
      </c>
      <c r="E108" s="527" t="s">
        <v>260</v>
      </c>
      <c r="F108" s="530" t="n">
        <v>4</v>
      </c>
      <c r="G108" s="530"/>
      <c r="H108" s="477"/>
      <c r="J108" s="527" t="s">
        <v>434</v>
      </c>
    </row>
    <row r="109" customFormat="false" ht="9.75" hidden="false" customHeight="true" outlineLevel="0" collapsed="false">
      <c r="A109" s="527" t="str">
        <f aca="false">'12.lan'!D426</f>
        <v>IMN Isle of Man </v>
      </c>
      <c r="B109" s="527" t="s">
        <v>435</v>
      </c>
      <c r="C109" s="530" t="n">
        <f aca="false">VLOOKUP(B109,'12.ppp data'!$C$3:$J$273,7,FALSE())</f>
        <v>1.93286164519776</v>
      </c>
      <c r="D109" s="530" t="str">
        <f aca="false">IF(VLOOKUP(B109,'12.ppp data'!$C$3:$J$273,8,FALSE())="est","est","-")</f>
        <v>est</v>
      </c>
      <c r="E109" s="527" t="s">
        <v>266</v>
      </c>
      <c r="F109" s="530" t="n">
        <v>2</v>
      </c>
      <c r="G109" s="530" t="s">
        <v>257</v>
      </c>
      <c r="H109" s="477"/>
      <c r="J109" s="527" t="s">
        <v>436</v>
      </c>
    </row>
    <row r="110" customFormat="false" ht="9.75" hidden="false" customHeight="true" outlineLevel="0" collapsed="false">
      <c r="A110" s="527" t="str">
        <f aca="false">'12.lan'!D427</f>
        <v>IND India </v>
      </c>
      <c r="B110" s="527" t="s">
        <v>437</v>
      </c>
      <c r="C110" s="530" t="n">
        <f aca="false">VLOOKUP(B110,'12.ppp data'!$C$3:$J$273,7,FALSE())</f>
        <v>4.14410163958857</v>
      </c>
      <c r="D110" s="530" t="str">
        <f aca="false">IF(VLOOKUP(B110,'12.ppp data'!$C$3:$J$273,8,FALSE())="est","est","-")</f>
        <v>-</v>
      </c>
      <c r="E110" s="527" t="s">
        <v>260</v>
      </c>
      <c r="F110" s="530" t="n">
        <v>5</v>
      </c>
      <c r="G110" s="530"/>
      <c r="H110" s="477"/>
      <c r="J110" s="527" t="s">
        <v>438</v>
      </c>
    </row>
    <row r="111" customFormat="false" ht="9.75" hidden="false" customHeight="true" outlineLevel="0" collapsed="false">
      <c r="A111" s="527" t="str">
        <f aca="false">'12.lan'!D428</f>
        <v>IRL Ireland </v>
      </c>
      <c r="B111" s="527" t="s">
        <v>439</v>
      </c>
      <c r="C111" s="530" t="n">
        <f aca="false">VLOOKUP(B111,'12.ppp data'!$C$3:$J$273,7,FALSE())</f>
        <v>1.2402454693833</v>
      </c>
      <c r="D111" s="530" t="str">
        <f aca="false">IF(VLOOKUP(B111,'12.ppp data'!$C$3:$J$273,8,FALSE())="est","est","-")</f>
        <v>-</v>
      </c>
      <c r="E111" s="527" t="s">
        <v>266</v>
      </c>
      <c r="F111" s="530" t="n">
        <v>2</v>
      </c>
      <c r="G111" s="530"/>
      <c r="H111" s="477"/>
      <c r="J111" s="527" t="s">
        <v>440</v>
      </c>
    </row>
    <row r="112" customFormat="false" ht="9.75" hidden="false" customHeight="true" outlineLevel="0" collapsed="false">
      <c r="A112" s="527" t="str">
        <f aca="false">'12.lan'!D429</f>
        <v>IRN Iran, Islamic Republic of </v>
      </c>
      <c r="B112" s="527" t="s">
        <v>441</v>
      </c>
      <c r="C112" s="530" t="n">
        <f aca="false">VLOOKUP(B112,'12.ppp data'!$C$3:$J$273,7,FALSE())</f>
        <v>4.2651915869607</v>
      </c>
      <c r="D112" s="530" t="str">
        <f aca="false">IF(VLOOKUP(B112,'12.ppp data'!$C$3:$J$273,8,FALSE())="est","est","-")</f>
        <v>-</v>
      </c>
      <c r="E112" s="527" t="s">
        <v>260</v>
      </c>
      <c r="F112" s="530" t="n">
        <v>4</v>
      </c>
      <c r="G112" s="530"/>
      <c r="H112" s="477"/>
      <c r="J112" s="527" t="s">
        <v>442</v>
      </c>
    </row>
    <row r="113" customFormat="false" ht="9.75" hidden="false" customHeight="true" outlineLevel="0" collapsed="false">
      <c r="A113" s="527" t="str">
        <f aca="false">'12.lan'!D430</f>
        <v>IRQ Iraq </v>
      </c>
      <c r="B113" s="527" t="s">
        <v>443</v>
      </c>
      <c r="C113" s="530" t="n">
        <f aca="false">VLOOKUP(B113,'12.ppp data'!$C$3:$J$273,7,FALSE())</f>
        <v>3.67598777141843</v>
      </c>
      <c r="D113" s="530" t="str">
        <f aca="false">IF(VLOOKUP(B113,'12.ppp data'!$C$3:$J$273,8,FALSE())="est","est","-")</f>
        <v>-</v>
      </c>
      <c r="E113" s="527" t="s">
        <v>260</v>
      </c>
      <c r="F113" s="530" t="n">
        <v>4</v>
      </c>
      <c r="G113" s="530"/>
      <c r="H113" s="477"/>
      <c r="I113" s="533"/>
      <c r="J113" s="527" t="s">
        <v>444</v>
      </c>
    </row>
    <row r="114" customFormat="false" ht="9.75" hidden="false" customHeight="true" outlineLevel="0" collapsed="false">
      <c r="A114" s="527" t="str">
        <f aca="false">'12.lan'!D431</f>
        <v>ISL Iceland </v>
      </c>
      <c r="B114" s="527" t="s">
        <v>445</v>
      </c>
      <c r="C114" s="530" t="n">
        <f aca="false">VLOOKUP(B114,'12.ppp data'!$C$3:$J$273,7,FALSE())</f>
        <v>0.859219151517723</v>
      </c>
      <c r="D114" s="530" t="str">
        <f aca="false">IF(VLOOKUP(B114,'12.ppp data'!$C$3:$J$273,8,FALSE())="est","est","-")</f>
        <v>-</v>
      </c>
      <c r="E114" s="527" t="s">
        <v>266</v>
      </c>
      <c r="F114" s="530" t="n">
        <v>1</v>
      </c>
      <c r="G114" s="530"/>
      <c r="H114" s="477"/>
      <c r="J114" s="527" t="s">
        <v>446</v>
      </c>
    </row>
    <row r="115" customFormat="false" ht="9.75" hidden="false" customHeight="true" outlineLevel="0" collapsed="false">
      <c r="A115" s="527" t="str">
        <f aca="false">'12.lan'!D432</f>
        <v>ISR Israel </v>
      </c>
      <c r="B115" s="527" t="s">
        <v>447</v>
      </c>
      <c r="C115" s="530" t="n">
        <f aca="false">VLOOKUP(B115,'12.ppp data'!$C$3:$J$273,7,FALSE())</f>
        <v>1.07621430452531</v>
      </c>
      <c r="D115" s="530" t="str">
        <f aca="false">IF(VLOOKUP(B115,'12.ppp data'!$C$3:$J$273,8,FALSE())="est","est","-")</f>
        <v>-</v>
      </c>
      <c r="E115" s="527" t="s">
        <v>260</v>
      </c>
      <c r="F115" s="530" t="n">
        <v>3</v>
      </c>
      <c r="G115" s="530"/>
      <c r="H115" s="477"/>
      <c r="J115" s="527" t="s">
        <v>448</v>
      </c>
    </row>
    <row r="116" customFormat="false" ht="9.75" hidden="false" customHeight="true" outlineLevel="0" collapsed="false">
      <c r="A116" s="527" t="str">
        <f aca="false">'12.lan'!D433</f>
        <v>ITA Italy </v>
      </c>
      <c r="B116" s="527" t="s">
        <v>449</v>
      </c>
      <c r="C116" s="530" t="n">
        <f aca="false">VLOOKUP(B116,'12.ppp data'!$C$3:$J$273,7,FALSE())</f>
        <v>1.40423799025459</v>
      </c>
      <c r="D116" s="530" t="str">
        <f aca="false">IF(VLOOKUP(B116,'12.ppp data'!$C$3:$J$273,8,FALSE())="est","est","-")</f>
        <v>-</v>
      </c>
      <c r="E116" s="527" t="s">
        <v>266</v>
      </c>
      <c r="F116" s="530" t="n">
        <v>1</v>
      </c>
      <c r="G116" s="530"/>
      <c r="H116" s="477"/>
      <c r="J116" s="527" t="s">
        <v>450</v>
      </c>
    </row>
    <row r="117" customFormat="false" ht="9.75" hidden="false" customHeight="true" outlineLevel="0" collapsed="false">
      <c r="A117" s="527" t="str">
        <f aca="false">'12.lan'!D434</f>
        <v>JAM Jamaica </v>
      </c>
      <c r="B117" s="527" t="s">
        <v>451</v>
      </c>
      <c r="C117" s="530" t="n">
        <f aca="false">VLOOKUP(B117,'12.ppp data'!$C$3:$J$273,7,FALSE())</f>
        <v>1.97169594036924</v>
      </c>
      <c r="D117" s="530" t="str">
        <f aca="false">IF(VLOOKUP(B117,'12.ppp data'!$C$3:$J$273,8,FALSE())="est","est","-")</f>
        <v>-</v>
      </c>
      <c r="E117" s="527" t="s">
        <v>256</v>
      </c>
      <c r="F117" s="530" t="n">
        <v>3.42105263157895</v>
      </c>
      <c r="G117" s="530" t="s">
        <v>257</v>
      </c>
      <c r="H117" s="477"/>
      <c r="J117" s="527" t="s">
        <v>452</v>
      </c>
    </row>
    <row r="118" customFormat="false" ht="9.75" hidden="false" customHeight="true" outlineLevel="0" collapsed="false">
      <c r="A118" s="527" t="str">
        <f aca="false">'12.lan'!D435</f>
        <v>JOR Jordan </v>
      </c>
      <c r="B118" s="527" t="s">
        <v>453</v>
      </c>
      <c r="C118" s="530" t="n">
        <f aca="false">VLOOKUP(B118,'12.ppp data'!$C$3:$J$273,7,FALSE())</f>
        <v>2.49255306504953</v>
      </c>
      <c r="D118" s="530" t="str">
        <f aca="false">IF(VLOOKUP(B118,'12.ppp data'!$C$3:$J$273,8,FALSE())="est","est","-")</f>
        <v>-</v>
      </c>
      <c r="E118" s="527" t="s">
        <v>260</v>
      </c>
      <c r="F118" s="530" t="n">
        <v>4</v>
      </c>
      <c r="G118" s="530"/>
      <c r="H118" s="477"/>
      <c r="J118" s="527" t="s">
        <v>454</v>
      </c>
    </row>
    <row r="119" customFormat="false" ht="9.75" hidden="false" customHeight="true" outlineLevel="0" collapsed="false">
      <c r="A119" s="527" t="str">
        <f aca="false">'12.lan'!D436</f>
        <v>JPN Japan </v>
      </c>
      <c r="B119" s="527" t="s">
        <v>455</v>
      </c>
      <c r="C119" s="530" t="n">
        <f aca="false">VLOOKUP(B119,'12.ppp data'!$C$3:$J$273,7,FALSE())</f>
        <v>1.28940812010188</v>
      </c>
      <c r="D119" s="530" t="str">
        <f aca="false">IF(VLOOKUP(B119,'12.ppp data'!$C$3:$J$273,8,FALSE())="est","est","-")</f>
        <v>-</v>
      </c>
      <c r="E119" s="527" t="s">
        <v>260</v>
      </c>
      <c r="F119" s="530" t="n">
        <v>2</v>
      </c>
      <c r="G119" s="530"/>
      <c r="H119" s="477"/>
      <c r="J119" s="527" t="s">
        <v>456</v>
      </c>
    </row>
    <row r="120" customFormat="false" ht="9.75" hidden="false" customHeight="true" outlineLevel="0" collapsed="false">
      <c r="A120" s="527" t="str">
        <f aca="false">'12.lan'!D437</f>
        <v>KAZ Kazakhstan </v>
      </c>
      <c r="B120" s="527" t="s">
        <v>457</v>
      </c>
      <c r="C120" s="530" t="n">
        <f aca="false">VLOOKUP(B120,'12.ppp data'!$C$3:$J$273,7,FALSE())</f>
        <v>3.35883151819116</v>
      </c>
      <c r="D120" s="530" t="str">
        <f aca="false">IF(VLOOKUP(B120,'12.ppp data'!$C$3:$J$273,8,FALSE())="est","est","-")</f>
        <v>-</v>
      </c>
      <c r="E120" s="527" t="s">
        <v>260</v>
      </c>
      <c r="F120" s="530" t="n">
        <v>4.17857142857143</v>
      </c>
      <c r="G120" s="530" t="s">
        <v>257</v>
      </c>
      <c r="H120" s="477"/>
      <c r="J120" s="527" t="s">
        <v>458</v>
      </c>
    </row>
    <row r="121" customFormat="false" ht="9.75" hidden="false" customHeight="true" outlineLevel="0" collapsed="false">
      <c r="A121" s="527" t="str">
        <f aca="false">'12.lan'!D438</f>
        <v>KEN Kenya </v>
      </c>
      <c r="B121" s="527" t="s">
        <v>459</v>
      </c>
      <c r="C121" s="530" t="n">
        <f aca="false">VLOOKUP(B121,'12.ppp data'!$C$3:$J$273,7,FALSE())</f>
        <v>2.42236258173826</v>
      </c>
      <c r="D121" s="530" t="str">
        <f aca="false">IF(VLOOKUP(B121,'12.ppp data'!$C$3:$J$273,8,FALSE())="est","est","-")</f>
        <v>-</v>
      </c>
      <c r="E121" s="527" t="s">
        <v>263</v>
      </c>
      <c r="F121" s="530" t="n">
        <v>4</v>
      </c>
      <c r="G121" s="530"/>
      <c r="H121" s="477"/>
      <c r="J121" s="527" t="s">
        <v>460</v>
      </c>
    </row>
    <row r="122" customFormat="false" ht="9.75" hidden="false" customHeight="true" outlineLevel="0" collapsed="false">
      <c r="A122" s="527" t="str">
        <f aca="false">'12.lan'!D439</f>
        <v>KGZ Kyrgyzstan </v>
      </c>
      <c r="B122" s="527" t="s">
        <v>461</v>
      </c>
      <c r="C122" s="530" t="n">
        <f aca="false">VLOOKUP(B122,'12.ppp data'!$C$3:$J$273,7,FALSE())</f>
        <v>3.44949487120571</v>
      </c>
      <c r="D122" s="530" t="str">
        <f aca="false">IF(VLOOKUP(B122,'12.ppp data'!$C$3:$J$273,8,FALSE())="est","est","-")</f>
        <v>-</v>
      </c>
      <c r="E122" s="527" t="s">
        <v>260</v>
      </c>
      <c r="F122" s="530" t="n">
        <v>4.17857142857143</v>
      </c>
      <c r="G122" s="530" t="s">
        <v>257</v>
      </c>
      <c r="H122" s="477"/>
      <c r="J122" s="527" t="s">
        <v>462</v>
      </c>
    </row>
    <row r="123" customFormat="false" ht="9.75" hidden="false" customHeight="true" outlineLevel="0" collapsed="false">
      <c r="A123" s="527" t="str">
        <f aca="false">'12.lan'!D440</f>
        <v>KHM Cambodia </v>
      </c>
      <c r="B123" s="527" t="s">
        <v>463</v>
      </c>
      <c r="C123" s="530" t="n">
        <f aca="false">VLOOKUP(B123,'12.ppp data'!$C$3:$J$273,7,FALSE())</f>
        <v>3.20980973331692</v>
      </c>
      <c r="D123" s="530" t="str">
        <f aca="false">IF(VLOOKUP(B123,'12.ppp data'!$C$3:$J$273,8,FALSE())="est","est","-")</f>
        <v>-</v>
      </c>
      <c r="E123" s="527" t="s">
        <v>260</v>
      </c>
      <c r="F123" s="530" t="n">
        <v>5</v>
      </c>
      <c r="G123" s="530"/>
      <c r="H123" s="477"/>
      <c r="J123" s="527" t="s">
        <v>464</v>
      </c>
    </row>
    <row r="124" customFormat="false" ht="9.75" hidden="false" customHeight="true" outlineLevel="0" collapsed="false">
      <c r="A124" s="527" t="str">
        <f aca="false">'12.lan'!D441</f>
        <v>KIR Kiribati </v>
      </c>
      <c r="B124" s="527" t="s">
        <v>465</v>
      </c>
      <c r="C124" s="530" t="n">
        <f aca="false">VLOOKUP(B124,'12.ppp data'!$C$3:$J$273,7,FALSE())</f>
        <v>1.45788861443993</v>
      </c>
      <c r="D124" s="530" t="str">
        <f aca="false">IF(VLOOKUP(B124,'12.ppp data'!$C$3:$J$273,8,FALSE())="est","est","-")</f>
        <v>-</v>
      </c>
      <c r="E124" s="527" t="s">
        <v>277</v>
      </c>
      <c r="F124" s="530" t="n">
        <v>3</v>
      </c>
      <c r="G124" s="530" t="s">
        <v>257</v>
      </c>
      <c r="H124" s="477"/>
      <c r="J124" s="527" t="s">
        <v>466</v>
      </c>
    </row>
    <row r="125" customFormat="false" ht="9.75" hidden="false" customHeight="true" outlineLevel="0" collapsed="false">
      <c r="A125" s="527" t="str">
        <f aca="false">'12.lan'!D442</f>
        <v>KNA Saint Kitts and Nevis </v>
      </c>
      <c r="B125" s="527" t="s">
        <v>467</v>
      </c>
      <c r="C125" s="530" t="n">
        <f aca="false">VLOOKUP(B125,'12.ppp data'!$C$3:$J$273,7,FALSE())</f>
        <v>1.78885652779978</v>
      </c>
      <c r="D125" s="530" t="str">
        <f aca="false">IF(VLOOKUP(B125,'12.ppp data'!$C$3:$J$273,8,FALSE())="est","est","-")</f>
        <v>-</v>
      </c>
      <c r="E125" s="527" t="s">
        <v>256</v>
      </c>
      <c r="F125" s="530" t="n">
        <v>3.42105263157895</v>
      </c>
      <c r="G125" s="530" t="s">
        <v>257</v>
      </c>
      <c r="H125" s="477"/>
      <c r="J125" s="527" t="s">
        <v>468</v>
      </c>
    </row>
    <row r="126" customFormat="false" ht="9.75" hidden="false" customHeight="true" outlineLevel="0" collapsed="false">
      <c r="A126" s="527" t="str">
        <f aca="false">'12.lan'!D443</f>
        <v>KOR Korea, Republic of </v>
      </c>
      <c r="B126" s="527" t="s">
        <v>469</v>
      </c>
      <c r="C126" s="530" t="n">
        <f aca="false">VLOOKUP(B126,'12.ppp data'!$C$3:$J$273,7,FALSE())</f>
        <v>1.45065185695947</v>
      </c>
      <c r="D126" s="530" t="str">
        <f aca="false">IF(VLOOKUP(B126,'12.ppp data'!$C$3:$J$273,8,FALSE())="est","est","-")</f>
        <v>-</v>
      </c>
      <c r="E126" s="527" t="s">
        <v>260</v>
      </c>
      <c r="F126" s="530" t="n">
        <v>5</v>
      </c>
      <c r="G126" s="530"/>
      <c r="H126" s="477"/>
      <c r="J126" s="527" t="s">
        <v>470</v>
      </c>
    </row>
    <row r="127" customFormat="false" ht="9.75" hidden="false" customHeight="true" outlineLevel="0" collapsed="false">
      <c r="A127" s="527" t="str">
        <f aca="false">'12.lan'!D444</f>
        <v>KWT Kuwait </v>
      </c>
      <c r="B127" s="527" t="s">
        <v>471</v>
      </c>
      <c r="C127" s="530" t="n">
        <f aca="false">VLOOKUP(B127,'12.ppp data'!$C$3:$J$273,7,FALSE())</f>
        <v>2.79361619205596</v>
      </c>
      <c r="D127" s="530" t="str">
        <f aca="false">IF(VLOOKUP(B127,'12.ppp data'!$C$3:$J$273,8,FALSE())="est","est","-")</f>
        <v>-</v>
      </c>
      <c r="E127" s="527" t="s">
        <v>260</v>
      </c>
      <c r="F127" s="530" t="n">
        <v>4.17857142857143</v>
      </c>
      <c r="G127" s="530" t="s">
        <v>257</v>
      </c>
      <c r="H127" s="477"/>
      <c r="J127" s="527" t="s">
        <v>472</v>
      </c>
    </row>
    <row r="128" customFormat="false" ht="9.75" hidden="false" customHeight="true" outlineLevel="0" collapsed="false">
      <c r="A128" s="527" t="str">
        <f aca="false">'12.lan'!D445</f>
        <v>LAO Lao People's Democratic Republic </v>
      </c>
      <c r="B128" s="527" t="s">
        <v>473</v>
      </c>
      <c r="C128" s="530" t="n">
        <f aca="false">VLOOKUP(B128,'12.ppp data'!$C$3:$J$273,7,FALSE())</f>
        <v>3.13226203814786</v>
      </c>
      <c r="D128" s="530" t="str">
        <f aca="false">IF(VLOOKUP(B128,'12.ppp data'!$C$3:$J$273,8,FALSE())="est","est","-")</f>
        <v>-</v>
      </c>
      <c r="E128" s="527" t="s">
        <v>260</v>
      </c>
      <c r="F128" s="530" t="n">
        <v>4.17857142857143</v>
      </c>
      <c r="G128" s="530" t="s">
        <v>257</v>
      </c>
      <c r="H128" s="477"/>
      <c r="J128" s="527" t="s">
        <v>474</v>
      </c>
    </row>
    <row r="129" customFormat="false" ht="9.75" hidden="false" customHeight="true" outlineLevel="0" collapsed="false">
      <c r="A129" s="527" t="str">
        <f aca="false">'12.lan'!D446</f>
        <v>LBN Lebanon </v>
      </c>
      <c r="B129" s="527" t="s">
        <v>475</v>
      </c>
      <c r="C129" s="530" t="n">
        <f aca="false">VLOOKUP(B129,'12.ppp data'!$C$3:$J$273,7,FALSE())</f>
        <v>1.91672689697567</v>
      </c>
      <c r="D129" s="530" t="str">
        <f aca="false">IF(VLOOKUP(B129,'12.ppp data'!$C$3:$J$273,8,FALSE())="est","est","-")</f>
        <v>-</v>
      </c>
      <c r="E129" s="527" t="s">
        <v>260</v>
      </c>
      <c r="F129" s="530" t="n">
        <v>4</v>
      </c>
      <c r="G129" s="530"/>
      <c r="H129" s="477"/>
      <c r="J129" s="527" t="s">
        <v>476</v>
      </c>
    </row>
    <row r="130" customFormat="false" ht="9.75" hidden="false" customHeight="true" outlineLevel="0" collapsed="false">
      <c r="A130" s="527" t="str">
        <f aca="false">'12.lan'!D447</f>
        <v>LBR Liberia </v>
      </c>
      <c r="B130" s="527" t="s">
        <v>477</v>
      </c>
      <c r="C130" s="530" t="n">
        <f aca="false">VLOOKUP(B130,'12.ppp data'!$C$3:$J$273,7,FALSE())</f>
        <v>3.03256163278312</v>
      </c>
      <c r="D130" s="530" t="str">
        <f aca="false">IF(VLOOKUP(B130,'12.ppp data'!$C$3:$J$273,8,FALSE())="est","est","-")</f>
        <v>est</v>
      </c>
      <c r="E130" s="527" t="s">
        <v>263</v>
      </c>
      <c r="F130" s="530" t="n">
        <v>3.70833333333333</v>
      </c>
      <c r="G130" s="530" t="s">
        <v>257</v>
      </c>
      <c r="H130" s="477"/>
      <c r="J130" s="527" t="s">
        <v>478</v>
      </c>
    </row>
    <row r="131" customFormat="false" ht="9.75" hidden="false" customHeight="true" outlineLevel="0" collapsed="false">
      <c r="A131" s="527" t="str">
        <f aca="false">'12.lan'!D448</f>
        <v>LBY Libya </v>
      </c>
      <c r="B131" s="527" t="s">
        <v>479</v>
      </c>
      <c r="C131" s="530" t="n">
        <f aca="false">VLOOKUP(B131,'12.ppp data'!$C$3:$J$273,7,FALSE())</f>
        <v>2.74293617699787</v>
      </c>
      <c r="D131" s="530" t="str">
        <f aca="false">IF(VLOOKUP(B131,'12.ppp data'!$C$3:$J$273,8,FALSE())="est","est","-")</f>
        <v>-</v>
      </c>
      <c r="E131" s="527" t="s">
        <v>263</v>
      </c>
      <c r="F131" s="530" t="n">
        <v>6</v>
      </c>
      <c r="G131" s="530"/>
      <c r="H131" s="477"/>
      <c r="J131" s="527" t="s">
        <v>480</v>
      </c>
    </row>
    <row r="132" customFormat="false" ht="9.75" hidden="false" customHeight="true" outlineLevel="0" collapsed="false">
      <c r="A132" s="527" t="str">
        <f aca="false">'12.lan'!D449</f>
        <v>LCA Saint Lucia </v>
      </c>
      <c r="B132" s="527" t="s">
        <v>481</v>
      </c>
      <c r="C132" s="530" t="n">
        <f aca="false">VLOOKUP(B132,'12.ppp data'!$C$3:$J$273,7,FALSE())</f>
        <v>1.67745760134086</v>
      </c>
      <c r="D132" s="530" t="str">
        <f aca="false">IF(VLOOKUP(B132,'12.ppp data'!$C$3:$J$273,8,FALSE())="est","est","-")</f>
        <v>-</v>
      </c>
      <c r="E132" s="527" t="s">
        <v>256</v>
      </c>
      <c r="F132" s="530" t="n">
        <v>3.42105263157895</v>
      </c>
      <c r="G132" s="530" t="s">
        <v>257</v>
      </c>
      <c r="H132" s="477"/>
      <c r="J132" s="527" t="s">
        <v>482</v>
      </c>
    </row>
    <row r="133" customFormat="false" ht="9.75" hidden="false" customHeight="true" outlineLevel="0" collapsed="false">
      <c r="A133" s="527" t="str">
        <f aca="false">'12.lan'!D450</f>
        <v>LIE Liechtenstein </v>
      </c>
      <c r="B133" s="527" t="s">
        <v>483</v>
      </c>
      <c r="C133" s="530" t="n">
        <f aca="false">VLOOKUP(B133,'12.ppp data'!$C$3:$J$273,7,FALSE())</f>
        <v>1.93286164519776</v>
      </c>
      <c r="D133" s="530" t="str">
        <f aca="false">IF(VLOOKUP(B133,'12.ppp data'!$C$3:$J$273,8,FALSE())="est","est","-")</f>
        <v>est</v>
      </c>
      <c r="E133" s="527" t="s">
        <v>266</v>
      </c>
      <c r="F133" s="530" t="n">
        <v>2</v>
      </c>
      <c r="G133" s="530" t="s">
        <v>257</v>
      </c>
      <c r="H133" s="477"/>
      <c r="J133" s="527" t="s">
        <v>484</v>
      </c>
    </row>
    <row r="134" customFormat="false" ht="9.75" hidden="false" customHeight="true" outlineLevel="0" collapsed="false">
      <c r="A134" s="527" t="str">
        <f aca="false">'12.lan'!D451</f>
        <v>LKA Sri Lanka </v>
      </c>
      <c r="B134" s="527" t="s">
        <v>485</v>
      </c>
      <c r="C134" s="530" t="n">
        <f aca="false">VLOOKUP(B134,'12.ppp data'!$C$3:$J$273,7,FALSE())</f>
        <v>3.51536133620754</v>
      </c>
      <c r="D134" s="530" t="str">
        <f aca="false">IF(VLOOKUP(B134,'12.ppp data'!$C$3:$J$273,8,FALSE())="est","est","-")</f>
        <v>-</v>
      </c>
      <c r="E134" s="527" t="s">
        <v>260</v>
      </c>
      <c r="F134" s="530" t="n">
        <v>3</v>
      </c>
      <c r="G134" s="530"/>
      <c r="J134" s="527" t="s">
        <v>486</v>
      </c>
    </row>
    <row r="135" customFormat="false" ht="9.75" hidden="false" customHeight="true" outlineLevel="0" collapsed="false">
      <c r="A135" s="527" t="str">
        <f aca="false">'12.lan'!D452</f>
        <v>LSO Lesotho </v>
      </c>
      <c r="B135" s="527" t="s">
        <v>487</v>
      </c>
      <c r="C135" s="530" t="n">
        <f aca="false">VLOOKUP(B135,'12.ppp data'!$C$3:$J$273,7,FALSE())</f>
        <v>2.98381317338922</v>
      </c>
      <c r="D135" s="530" t="str">
        <f aca="false">IF(VLOOKUP(B135,'12.ppp data'!$C$3:$J$273,8,FALSE())="est","est","-")</f>
        <v>-</v>
      </c>
      <c r="E135" s="527" t="s">
        <v>263</v>
      </c>
      <c r="F135" s="530" t="n">
        <v>3.70833333333333</v>
      </c>
      <c r="G135" s="530" t="s">
        <v>257</v>
      </c>
      <c r="J135" s="527" t="s">
        <v>488</v>
      </c>
    </row>
    <row r="136" customFormat="false" ht="9.75" hidden="false" customHeight="true" outlineLevel="0" collapsed="false">
      <c r="A136" s="527" t="str">
        <f aca="false">'12.lan'!D453</f>
        <v>LTU Lithuania </v>
      </c>
      <c r="B136" s="527" t="s">
        <v>489</v>
      </c>
      <c r="C136" s="530" t="n">
        <f aca="false">VLOOKUP(B136,'12.ppp data'!$C$3:$J$273,7,FALSE())</f>
        <v>2.16806176709918</v>
      </c>
      <c r="D136" s="530" t="str">
        <f aca="false">IF(VLOOKUP(B136,'12.ppp data'!$C$3:$J$273,8,FALSE())="est","est","-")</f>
        <v>-</v>
      </c>
      <c r="E136" s="527" t="s">
        <v>266</v>
      </c>
      <c r="F136" s="530" t="n">
        <v>1</v>
      </c>
      <c r="G136" s="530"/>
      <c r="J136" s="527" t="s">
        <v>490</v>
      </c>
    </row>
    <row r="137" customFormat="false" ht="12.75" hidden="false" customHeight="true" outlineLevel="0" collapsed="false">
      <c r="A137" s="527" t="str">
        <f aca="false">'12.lan'!D454</f>
        <v>LUX Luxembourg </v>
      </c>
      <c r="B137" s="527" t="s">
        <v>491</v>
      </c>
      <c r="C137" s="530" t="n">
        <f aca="false">VLOOKUP(B137,'12.ppp data'!$C$3:$J$273,7,FALSE())</f>
        <v>1.12211406289449</v>
      </c>
      <c r="D137" s="530" t="str">
        <f aca="false">IF(VLOOKUP(B137,'12.ppp data'!$C$3:$J$273,8,FALSE())="est","est","-")</f>
        <v>-</v>
      </c>
      <c r="E137" s="527" t="s">
        <v>266</v>
      </c>
      <c r="F137" s="530" t="n">
        <v>2</v>
      </c>
      <c r="G137" s="530" t="s">
        <v>257</v>
      </c>
      <c r="H137" s="534"/>
      <c r="I137" s="534"/>
      <c r="J137" s="527" t="s">
        <v>492</v>
      </c>
    </row>
    <row r="138" customFormat="false" ht="9.75" hidden="false" customHeight="true" outlineLevel="0" collapsed="false">
      <c r="A138" s="527" t="str">
        <f aca="false">'12.lan'!D455</f>
        <v>LVA Latvia </v>
      </c>
      <c r="B138" s="527" t="s">
        <v>493</v>
      </c>
      <c r="C138" s="530" t="n">
        <f aca="false">VLOOKUP(B138,'12.ppp data'!$C$3:$J$273,7,FALSE())</f>
        <v>1.99433968559289</v>
      </c>
      <c r="D138" s="530" t="str">
        <f aca="false">IF(VLOOKUP(B138,'12.ppp data'!$C$3:$J$273,8,FALSE())="est","est","-")</f>
        <v>-</v>
      </c>
      <c r="E138" s="527" t="s">
        <v>266</v>
      </c>
      <c r="F138" s="530" t="n">
        <v>2</v>
      </c>
      <c r="G138" s="530"/>
      <c r="H138" s="477"/>
      <c r="J138" s="527" t="s">
        <v>494</v>
      </c>
    </row>
    <row r="139" customFormat="false" ht="9.75" hidden="false" customHeight="true" outlineLevel="0" collapsed="false">
      <c r="A139" s="527" t="str">
        <f aca="false">'12.lan'!D456</f>
        <v>MAC Macao </v>
      </c>
      <c r="B139" s="527" t="s">
        <v>495</v>
      </c>
      <c r="C139" s="530" t="n">
        <f aca="false">VLOOKUP(B139,'12.ppp data'!$C$3:$J$273,7,FALSE())</f>
        <v>1.57323844620917</v>
      </c>
      <c r="D139" s="530" t="str">
        <f aca="false">IF(VLOOKUP(B139,'12.ppp data'!$C$3:$J$273,8,FALSE())="est","est","-")</f>
        <v>-</v>
      </c>
      <c r="E139" s="527" t="s">
        <v>260</v>
      </c>
      <c r="F139" s="530" t="n">
        <v>4.17857142857143</v>
      </c>
      <c r="G139" s="530" t="s">
        <v>257</v>
      </c>
      <c r="H139" s="477"/>
      <c r="J139" s="527" t="s">
        <v>496</v>
      </c>
    </row>
    <row r="140" customFormat="false" ht="9.75" hidden="false" customHeight="true" outlineLevel="0" collapsed="false">
      <c r="A140" s="527" t="str">
        <f aca="false">'12.lan'!D457</f>
        <v>MAF Saint Martin (French part) </v>
      </c>
      <c r="B140" s="527" t="s">
        <v>497</v>
      </c>
      <c r="C140" s="530" t="n">
        <f aca="false">VLOOKUP(B140,'12.ppp data'!$C$3:$J$273,7,FALSE())</f>
        <v>1.96289944979353</v>
      </c>
      <c r="D140" s="530" t="str">
        <f aca="false">IF(VLOOKUP(B140,'12.ppp data'!$C$3:$J$273,8,FALSE())="est","est","-")</f>
        <v>est</v>
      </c>
      <c r="E140" s="527" t="s">
        <v>256</v>
      </c>
      <c r="F140" s="530" t="n">
        <v>3.42105263157895</v>
      </c>
      <c r="G140" s="530" t="s">
        <v>257</v>
      </c>
      <c r="H140" s="477"/>
      <c r="J140" s="527" t="s">
        <v>498</v>
      </c>
    </row>
    <row r="141" customFormat="false" ht="9.75" hidden="false" customHeight="true" outlineLevel="0" collapsed="false">
      <c r="A141" s="527" t="str">
        <f aca="false">'12.lan'!D458</f>
        <v>MAR Morocco </v>
      </c>
      <c r="B141" s="527" t="s">
        <v>499</v>
      </c>
      <c r="C141" s="530" t="n">
        <f aca="false">VLOOKUP(B141,'12.ppp data'!$C$3:$J$273,7,FALSE())</f>
        <v>3.050702034376</v>
      </c>
      <c r="D141" s="530" t="str">
        <f aca="false">IF(VLOOKUP(B141,'12.ppp data'!$C$3:$J$273,8,FALSE())="est","est","-")</f>
        <v>-</v>
      </c>
      <c r="E141" s="527" t="s">
        <v>263</v>
      </c>
      <c r="F141" s="530" t="n">
        <v>4</v>
      </c>
      <c r="G141" s="530"/>
      <c r="H141" s="477"/>
      <c r="J141" s="527" t="s">
        <v>500</v>
      </c>
    </row>
    <row r="142" customFormat="false" ht="9.75" hidden="false" customHeight="true" outlineLevel="0" collapsed="false">
      <c r="A142" s="527" t="str">
        <f aca="false">'12.lan'!D459</f>
        <v>MCO Monaco </v>
      </c>
      <c r="B142" s="527" t="s">
        <v>501</v>
      </c>
      <c r="C142" s="530" t="n">
        <f aca="false">VLOOKUP(B142,'12.ppp data'!$C$3:$J$273,7,FALSE())</f>
        <v>1.93286164519776</v>
      </c>
      <c r="D142" s="530" t="str">
        <f aca="false">IF(VLOOKUP(B142,'12.ppp data'!$C$3:$J$273,8,FALSE())="est","est","-")</f>
        <v>est</v>
      </c>
      <c r="E142" s="527" t="s">
        <v>266</v>
      </c>
      <c r="F142" s="530" t="n">
        <v>2</v>
      </c>
      <c r="G142" s="530" t="s">
        <v>257</v>
      </c>
      <c r="H142" s="477"/>
      <c r="J142" s="527" t="s">
        <v>502</v>
      </c>
    </row>
    <row r="143" customFormat="false" ht="9.75" hidden="false" customHeight="true" outlineLevel="0" collapsed="false">
      <c r="A143" s="527" t="str">
        <f aca="false">'12.lan'!D460</f>
        <v>MDA Moldova, Republic of </v>
      </c>
      <c r="B143" s="527" t="s">
        <v>503</v>
      </c>
      <c r="C143" s="530" t="n">
        <f aca="false">VLOOKUP(B143,'12.ppp data'!$C$3:$J$273,7,FALSE())</f>
        <v>2.76701051372199</v>
      </c>
      <c r="D143" s="530" t="str">
        <f aca="false">IF(VLOOKUP(B143,'12.ppp data'!$C$3:$J$273,8,FALSE())="est","est","-")</f>
        <v>-</v>
      </c>
      <c r="E143" s="527" t="s">
        <v>266</v>
      </c>
      <c r="F143" s="530" t="n">
        <v>2</v>
      </c>
      <c r="G143" s="530" t="s">
        <v>257</v>
      </c>
      <c r="H143" s="477"/>
      <c r="J143" s="527" t="s">
        <v>504</v>
      </c>
    </row>
    <row r="144" customFormat="false" ht="9.75" hidden="false" customHeight="true" outlineLevel="0" collapsed="false">
      <c r="A144" s="527" t="str">
        <f aca="false">'12.lan'!D461</f>
        <v>MDG Madagascar </v>
      </c>
      <c r="B144" s="527" t="s">
        <v>505</v>
      </c>
      <c r="C144" s="530" t="n">
        <f aca="false">VLOOKUP(B144,'12.ppp data'!$C$3:$J$273,7,FALSE())</f>
        <v>3.86377770315813</v>
      </c>
      <c r="D144" s="530" t="str">
        <f aca="false">IF(VLOOKUP(B144,'12.ppp data'!$C$3:$J$273,8,FALSE())="est","est","-")</f>
        <v>-</v>
      </c>
      <c r="E144" s="527" t="s">
        <v>263</v>
      </c>
      <c r="F144" s="530" t="n">
        <v>3.70833333333333</v>
      </c>
      <c r="G144" s="530" t="s">
        <v>257</v>
      </c>
      <c r="H144" s="477"/>
      <c r="J144" s="527" t="s">
        <v>506</v>
      </c>
    </row>
    <row r="145" customFormat="false" ht="9.75" hidden="false" customHeight="true" outlineLevel="0" collapsed="false">
      <c r="A145" s="527" t="str">
        <f aca="false">'12.lan'!D462</f>
        <v>MDV Maldives </v>
      </c>
      <c r="B145" s="527" t="s">
        <v>507</v>
      </c>
      <c r="C145" s="530" t="n">
        <f aca="false">VLOOKUP(B145,'12.ppp data'!$C$3:$J$273,7,FALSE())</f>
        <v>1.77113251397802</v>
      </c>
      <c r="D145" s="530" t="str">
        <f aca="false">IF(VLOOKUP(B145,'12.ppp data'!$C$3:$J$273,8,FALSE())="est","est","-")</f>
        <v>-</v>
      </c>
      <c r="E145" s="527" t="s">
        <v>260</v>
      </c>
      <c r="F145" s="530" t="n">
        <v>4.17857142857143</v>
      </c>
      <c r="G145" s="530" t="s">
        <v>257</v>
      </c>
      <c r="H145" s="477"/>
      <c r="J145" s="527" t="s">
        <v>508</v>
      </c>
    </row>
    <row r="146" customFormat="false" ht="9.75" hidden="false" customHeight="true" outlineLevel="0" collapsed="false">
      <c r="A146" s="527" t="str">
        <f aca="false">'12.lan'!D463</f>
        <v>MEX Mexico </v>
      </c>
      <c r="B146" s="527" t="s">
        <v>509</v>
      </c>
      <c r="C146" s="530" t="n">
        <f aca="false">VLOOKUP(B146,'12.ppp data'!$C$3:$J$273,7,FALSE())</f>
        <v>2.29945331128235</v>
      </c>
      <c r="D146" s="530" t="str">
        <f aca="false">IF(VLOOKUP(B146,'12.ppp data'!$C$3:$J$273,8,FALSE())="est","est","-")</f>
        <v>-</v>
      </c>
      <c r="E146" s="527" t="s">
        <v>256</v>
      </c>
      <c r="F146" s="530" t="n">
        <v>4</v>
      </c>
      <c r="G146" s="530"/>
      <c r="H146" s="477"/>
      <c r="J146" s="527" t="s">
        <v>510</v>
      </c>
    </row>
    <row r="147" customFormat="false" ht="9.75" hidden="false" customHeight="true" outlineLevel="0" collapsed="false">
      <c r="A147" s="527" t="str">
        <f aca="false">'12.lan'!D464</f>
        <v>MHL Marshall Islands </v>
      </c>
      <c r="B147" s="527" t="s">
        <v>511</v>
      </c>
      <c r="C147" s="530" t="n">
        <f aca="false">VLOOKUP(B147,'12.ppp data'!$C$3:$J$273,7,FALSE())</f>
        <v>1.26180337538196</v>
      </c>
      <c r="D147" s="530" t="str">
        <f aca="false">IF(VLOOKUP(B147,'12.ppp data'!$C$3:$J$273,8,FALSE())="est","est","-")</f>
        <v>-</v>
      </c>
      <c r="E147" s="527" t="s">
        <v>277</v>
      </c>
      <c r="F147" s="530" t="n">
        <v>3</v>
      </c>
      <c r="G147" s="530" t="s">
        <v>257</v>
      </c>
      <c r="H147" s="477"/>
      <c r="J147" s="527" t="s">
        <v>512</v>
      </c>
    </row>
    <row r="148" customFormat="false" ht="9.75" hidden="false" customHeight="true" outlineLevel="0" collapsed="false">
      <c r="A148" s="527" t="str">
        <f aca="false">'12.lan'!D465</f>
        <v>MKD Macedonia, The Former Yugoslav Republic of </v>
      </c>
      <c r="B148" s="527" t="s">
        <v>513</v>
      </c>
      <c r="C148" s="530" t="n">
        <f aca="false">VLOOKUP(B148,'12.ppp data'!$C$3:$J$273,7,FALSE())</f>
        <v>3.1366359337907</v>
      </c>
      <c r="D148" s="530" t="str">
        <f aca="false">IF(VLOOKUP(B148,'12.ppp data'!$C$3:$J$273,8,FALSE())="est","est","-")</f>
        <v>-</v>
      </c>
      <c r="E148" s="527" t="s">
        <v>266</v>
      </c>
      <c r="F148" s="530" t="n">
        <v>2</v>
      </c>
      <c r="G148" s="530" t="s">
        <v>257</v>
      </c>
      <c r="H148" s="477"/>
      <c r="J148" s="527" t="s">
        <v>514</v>
      </c>
    </row>
    <row r="149" customFormat="false" ht="9.75" hidden="false" customHeight="true" outlineLevel="0" collapsed="false">
      <c r="A149" s="527" t="str">
        <f aca="false">'12.lan'!D466</f>
        <v>MLI Mali </v>
      </c>
      <c r="B149" s="527" t="s">
        <v>515</v>
      </c>
      <c r="C149" s="530" t="n">
        <f aca="false">VLOOKUP(B149,'12.ppp data'!$C$3:$J$273,7,FALSE())</f>
        <v>3.02666970174571</v>
      </c>
      <c r="D149" s="530" t="str">
        <f aca="false">IF(VLOOKUP(B149,'12.ppp data'!$C$3:$J$273,8,FALSE())="est","est","-")</f>
        <v>-</v>
      </c>
      <c r="E149" s="527" t="s">
        <v>263</v>
      </c>
      <c r="F149" s="530" t="n">
        <v>3.70833333333333</v>
      </c>
      <c r="G149" s="530" t="s">
        <v>257</v>
      </c>
      <c r="H149" s="477"/>
      <c r="J149" s="527" t="s">
        <v>516</v>
      </c>
    </row>
    <row r="150" customFormat="false" ht="9.75" hidden="false" customHeight="true" outlineLevel="0" collapsed="false">
      <c r="A150" s="527" t="str">
        <f aca="false">'12.lan'!D467</f>
        <v>MLT Malta </v>
      </c>
      <c r="B150" s="527" t="s">
        <v>517</v>
      </c>
      <c r="C150" s="530" t="n">
        <f aca="false">VLOOKUP(B150,'12.ppp data'!$C$3:$J$273,7,FALSE())</f>
        <v>0.711088927927647</v>
      </c>
      <c r="D150" s="530" t="str">
        <f aca="false">IF(VLOOKUP(B150,'12.ppp data'!$C$3:$J$273,8,FALSE())="est","est","-")</f>
        <v>-</v>
      </c>
      <c r="E150" s="527" t="s">
        <v>266</v>
      </c>
      <c r="F150" s="530" t="n">
        <v>2</v>
      </c>
      <c r="G150" s="530" t="s">
        <v>257</v>
      </c>
      <c r="H150" s="477"/>
      <c r="J150" s="527" t="s">
        <v>518</v>
      </c>
    </row>
    <row r="151" customFormat="false" ht="9.75" hidden="false" customHeight="true" outlineLevel="0" collapsed="false">
      <c r="A151" s="527" t="str">
        <f aca="false">'12.lan'!D468</f>
        <v>MMR Myanmar </v>
      </c>
      <c r="B151" s="527" t="s">
        <v>519</v>
      </c>
      <c r="C151" s="530" t="n">
        <f aca="false">VLOOKUP(B151,'12.ppp data'!$C$3:$J$273,7,FALSE())</f>
        <v>5.31553582294189</v>
      </c>
      <c r="D151" s="530" t="str">
        <f aca="false">IF(VLOOKUP(B151,'12.ppp data'!$C$3:$J$273,8,FALSE())="est","est","-")</f>
        <v>-</v>
      </c>
      <c r="E151" s="527" t="s">
        <v>260</v>
      </c>
      <c r="F151" s="530" t="n">
        <v>4</v>
      </c>
      <c r="G151" s="530"/>
      <c r="H151" s="477"/>
      <c r="J151" s="527" t="s">
        <v>520</v>
      </c>
    </row>
    <row r="152" customFormat="false" ht="9.75" hidden="false" customHeight="true" outlineLevel="0" collapsed="false">
      <c r="A152" s="527" t="str">
        <f aca="false">'12.lan'!D469</f>
        <v>MNE Montenegro </v>
      </c>
      <c r="B152" s="527" t="s">
        <v>521</v>
      </c>
      <c r="C152" s="530" t="n">
        <f aca="false">VLOOKUP(B152,'12.ppp data'!$C$3:$J$273,7,FALSE())</f>
        <v>2.75715047790181</v>
      </c>
      <c r="D152" s="530" t="str">
        <f aca="false">IF(VLOOKUP(B152,'12.ppp data'!$C$3:$J$273,8,FALSE())="est","est","-")</f>
        <v>-</v>
      </c>
      <c r="E152" s="527" t="s">
        <v>266</v>
      </c>
      <c r="F152" s="530" t="n">
        <v>2</v>
      </c>
      <c r="G152" s="530" t="s">
        <v>257</v>
      </c>
      <c r="H152" s="477"/>
      <c r="J152" s="527" t="s">
        <v>522</v>
      </c>
    </row>
    <row r="153" customFormat="false" ht="9.75" hidden="false" customHeight="true" outlineLevel="0" collapsed="false">
      <c r="A153" s="527" t="str">
        <f aca="false">'12.lan'!D470</f>
        <v>MNG Mongolia </v>
      </c>
      <c r="B153" s="527" t="s">
        <v>523</v>
      </c>
      <c r="C153" s="530" t="n">
        <f aca="false">VLOOKUP(B153,'12.ppp data'!$C$3:$J$273,7,FALSE())</f>
        <v>3.91683564767957</v>
      </c>
      <c r="D153" s="530" t="str">
        <f aca="false">IF(VLOOKUP(B153,'12.ppp data'!$C$3:$J$273,8,FALSE())="est","est","-")</f>
        <v>-</v>
      </c>
      <c r="E153" s="527" t="s">
        <v>260</v>
      </c>
      <c r="F153" s="530" t="n">
        <v>4.17857142857143</v>
      </c>
      <c r="G153" s="530" t="s">
        <v>257</v>
      </c>
      <c r="H153" s="477"/>
      <c r="J153" s="527" t="s">
        <v>524</v>
      </c>
    </row>
    <row r="154" customFormat="false" ht="9.75" hidden="false" customHeight="true" outlineLevel="0" collapsed="false">
      <c r="A154" s="527" t="str">
        <f aca="false">'12.lan'!D471</f>
        <v>MNP Northern Mariana Islands </v>
      </c>
      <c r="B154" s="527" t="s">
        <v>525</v>
      </c>
      <c r="C154" s="530" t="n">
        <f aca="false">VLOOKUP(B154,'12.ppp data'!$C$3:$J$273,7,FALSE())</f>
        <v>1.35633083709363</v>
      </c>
      <c r="D154" s="530" t="str">
        <f aca="false">IF(VLOOKUP(B154,'12.ppp data'!$C$3:$J$273,8,FALSE())="est","est","-")</f>
        <v>est</v>
      </c>
      <c r="E154" s="527" t="s">
        <v>277</v>
      </c>
      <c r="F154" s="530" t="n">
        <v>3</v>
      </c>
      <c r="G154" s="530" t="s">
        <v>257</v>
      </c>
      <c r="H154" s="477"/>
      <c r="J154" s="527" t="s">
        <v>526</v>
      </c>
    </row>
    <row r="155" customFormat="false" ht="9.75" hidden="false" customHeight="true" outlineLevel="0" collapsed="false">
      <c r="A155" s="527" t="str">
        <f aca="false">'12.lan'!D472</f>
        <v>MOZ Mozambique </v>
      </c>
      <c r="B155" s="527" t="s">
        <v>527</v>
      </c>
      <c r="C155" s="530" t="n">
        <f aca="false">VLOOKUP(B155,'12.ppp data'!$C$3:$J$273,7,FALSE())</f>
        <v>3.40668986891956</v>
      </c>
      <c r="D155" s="530" t="str">
        <f aca="false">IF(VLOOKUP(B155,'12.ppp data'!$C$3:$J$273,8,FALSE())="est","est","-")</f>
        <v>-</v>
      </c>
      <c r="E155" s="527" t="s">
        <v>263</v>
      </c>
      <c r="F155" s="530" t="n">
        <v>3</v>
      </c>
      <c r="G155" s="530"/>
      <c r="H155" s="477"/>
      <c r="J155" s="527" t="s">
        <v>528</v>
      </c>
    </row>
    <row r="156" customFormat="false" ht="9.75" hidden="false" customHeight="true" outlineLevel="0" collapsed="false">
      <c r="A156" s="527" t="str">
        <f aca="false">'12.lan'!D473</f>
        <v>MRT Mauritania </v>
      </c>
      <c r="B156" s="527" t="s">
        <v>529</v>
      </c>
      <c r="C156" s="530" t="n">
        <f aca="false">VLOOKUP(B156,'12.ppp data'!$C$3:$J$273,7,FALSE())</f>
        <v>3.89285474896845</v>
      </c>
      <c r="D156" s="530" t="str">
        <f aca="false">IF(VLOOKUP(B156,'12.ppp data'!$C$3:$J$273,8,FALSE())="est","est","-")</f>
        <v>-</v>
      </c>
      <c r="E156" s="527" t="s">
        <v>263</v>
      </c>
      <c r="F156" s="530" t="n">
        <v>3.70833333333333</v>
      </c>
      <c r="G156" s="530" t="s">
        <v>257</v>
      </c>
      <c r="H156" s="477"/>
      <c r="J156" s="527" t="s">
        <v>530</v>
      </c>
    </row>
    <row r="157" customFormat="false" ht="9.75" hidden="false" customHeight="true" outlineLevel="0" collapsed="false">
      <c r="A157" s="527" t="str">
        <f aca="false">'12.lan'!D474</f>
        <v>MUS Mauritius </v>
      </c>
      <c r="B157" s="527" t="s">
        <v>531</v>
      </c>
      <c r="C157" s="530" t="n">
        <f aca="false">VLOOKUP(B157,'12.ppp data'!$C$3:$J$273,7,FALSE())</f>
        <v>2.30108226965678</v>
      </c>
      <c r="D157" s="530" t="str">
        <f aca="false">IF(VLOOKUP(B157,'12.ppp data'!$C$3:$J$273,8,FALSE())="est","est","-")</f>
        <v>-</v>
      </c>
      <c r="E157" s="527" t="s">
        <v>263</v>
      </c>
      <c r="F157" s="530" t="n">
        <v>3.70833333333333</v>
      </c>
      <c r="G157" s="530" t="s">
        <v>257</v>
      </c>
      <c r="H157" s="477"/>
      <c r="J157" s="527" t="s">
        <v>532</v>
      </c>
    </row>
    <row r="158" customFormat="false" ht="9.75" hidden="false" customHeight="true" outlineLevel="0" collapsed="false">
      <c r="A158" s="527" t="str">
        <f aca="false">'12.lan'!D475</f>
        <v>MWI Malawi </v>
      </c>
      <c r="B158" s="527" t="s">
        <v>533</v>
      </c>
      <c r="C158" s="530" t="n">
        <f aca="false">VLOOKUP(B158,'12.ppp data'!$C$3:$J$273,7,FALSE())</f>
        <v>3.94934736358746</v>
      </c>
      <c r="D158" s="530" t="str">
        <f aca="false">IF(VLOOKUP(B158,'12.ppp data'!$C$3:$J$273,8,FALSE())="est","est","-")</f>
        <v>-</v>
      </c>
      <c r="E158" s="527" t="s">
        <v>263</v>
      </c>
      <c r="F158" s="530" t="n">
        <v>3.70833333333333</v>
      </c>
      <c r="G158" s="530" t="s">
        <v>257</v>
      </c>
      <c r="H158" s="477"/>
      <c r="J158" s="527" t="s">
        <v>534</v>
      </c>
    </row>
    <row r="159" customFormat="false" ht="9.75" hidden="false" customHeight="true" outlineLevel="0" collapsed="false">
      <c r="A159" s="527" t="str">
        <f aca="false">'12.lan'!D476</f>
        <v>MYS Malaysia </v>
      </c>
      <c r="B159" s="527" t="s">
        <v>535</v>
      </c>
      <c r="C159" s="530" t="n">
        <f aca="false">VLOOKUP(B159,'12.ppp data'!$C$3:$J$273,7,FALSE())</f>
        <v>3.34095390869308</v>
      </c>
      <c r="D159" s="530" t="str">
        <f aca="false">IF(VLOOKUP(B159,'12.ppp data'!$C$3:$J$273,8,FALSE())="est","est","-")</f>
        <v>-</v>
      </c>
      <c r="E159" s="527" t="s">
        <v>260</v>
      </c>
      <c r="F159" s="530" t="n">
        <v>5</v>
      </c>
      <c r="G159" s="530"/>
      <c r="H159" s="477"/>
      <c r="J159" s="527" t="s">
        <v>536</v>
      </c>
    </row>
    <row r="160" customFormat="false" ht="9.75" hidden="false" customHeight="true" outlineLevel="0" collapsed="false">
      <c r="A160" s="527" t="str">
        <f aca="false">'12.lan'!D477</f>
        <v>NAM Namibia </v>
      </c>
      <c r="B160" s="527" t="s">
        <v>537</v>
      </c>
      <c r="C160" s="530" t="n">
        <f aca="false">VLOOKUP(B160,'12.ppp data'!$C$3:$J$273,7,FALSE())</f>
        <v>2.26122272509832</v>
      </c>
      <c r="D160" s="530" t="str">
        <f aca="false">IF(VLOOKUP(B160,'12.ppp data'!$C$3:$J$273,8,FALSE())="est","est","-")</f>
        <v>-</v>
      </c>
      <c r="E160" s="527" t="s">
        <v>263</v>
      </c>
      <c r="F160" s="530" t="n">
        <v>3</v>
      </c>
      <c r="G160" s="530"/>
      <c r="H160" s="477"/>
      <c r="J160" s="527" t="s">
        <v>538</v>
      </c>
    </row>
    <row r="161" customFormat="false" ht="9.75" hidden="false" customHeight="true" outlineLevel="0" collapsed="false">
      <c r="A161" s="527" t="str">
        <f aca="false">'12.lan'!D478</f>
        <v>NCL New Caledonia </v>
      </c>
      <c r="B161" s="527" t="s">
        <v>539</v>
      </c>
      <c r="C161" s="530" t="n">
        <f aca="false">VLOOKUP(B161,'12.ppp data'!$C$3:$J$273,7,FALSE())</f>
        <v>1.35633083709363</v>
      </c>
      <c r="D161" s="530" t="str">
        <f aca="false">IF(VLOOKUP(B161,'12.ppp data'!$C$3:$J$273,8,FALSE())="est","est","-")</f>
        <v>est</v>
      </c>
      <c r="E161" s="527" t="s">
        <v>277</v>
      </c>
      <c r="F161" s="530" t="n">
        <v>3</v>
      </c>
      <c r="G161" s="530" t="s">
        <v>257</v>
      </c>
      <c r="H161" s="477"/>
      <c r="J161" s="527" t="s">
        <v>540</v>
      </c>
    </row>
    <row r="162" customFormat="false" ht="9.75" hidden="false" customHeight="true" outlineLevel="0" collapsed="false">
      <c r="A162" s="527" t="str">
        <f aca="false">'12.lan'!D479</f>
        <v>NER Niger </v>
      </c>
      <c r="B162" s="527" t="s">
        <v>541</v>
      </c>
      <c r="C162" s="530" t="n">
        <f aca="false">VLOOKUP(B162,'12.ppp data'!$C$3:$J$273,7,FALSE())</f>
        <v>3.03451175828867</v>
      </c>
      <c r="D162" s="530" t="str">
        <f aca="false">IF(VLOOKUP(B162,'12.ppp data'!$C$3:$J$273,8,FALSE())="est","est","-")</f>
        <v>-</v>
      </c>
      <c r="E162" s="527" t="s">
        <v>263</v>
      </c>
      <c r="F162" s="530" t="n">
        <v>3.70833333333333</v>
      </c>
      <c r="G162" s="530" t="s">
        <v>257</v>
      </c>
      <c r="H162" s="477"/>
      <c r="J162" s="527" t="s">
        <v>542</v>
      </c>
    </row>
    <row r="163" customFormat="false" ht="9.75" hidden="false" customHeight="true" outlineLevel="0" collapsed="false">
      <c r="A163" s="527" t="str">
        <f aca="false">'12.lan'!D480</f>
        <v>NGA Nigeria </v>
      </c>
      <c r="B163" s="527" t="s">
        <v>543</v>
      </c>
      <c r="C163" s="530" t="n">
        <f aca="false">VLOOKUP(B163,'12.ppp data'!$C$3:$J$273,7,FALSE())</f>
        <v>3.64733163441153</v>
      </c>
      <c r="D163" s="530" t="str">
        <f aca="false">IF(VLOOKUP(B163,'12.ppp data'!$C$3:$J$273,8,FALSE())="est","est","-")</f>
        <v>-</v>
      </c>
      <c r="E163" s="527" t="s">
        <v>263</v>
      </c>
      <c r="F163" s="530" t="n">
        <v>5</v>
      </c>
      <c r="G163" s="530"/>
      <c r="H163" s="477"/>
      <c r="J163" s="527" t="s">
        <v>544</v>
      </c>
    </row>
    <row r="164" customFormat="false" ht="9.75" hidden="false" customHeight="true" outlineLevel="0" collapsed="false">
      <c r="A164" s="527" t="str">
        <f aca="false">'12.lan'!D481</f>
        <v>NIC Nicaragua </v>
      </c>
      <c r="B164" s="527" t="s">
        <v>545</v>
      </c>
      <c r="C164" s="530" t="n">
        <f aca="false">VLOOKUP(B164,'12.ppp data'!$C$3:$J$273,7,FALSE())</f>
        <v>2.92370990416819</v>
      </c>
      <c r="D164" s="530" t="str">
        <f aca="false">IF(VLOOKUP(B164,'12.ppp data'!$C$3:$J$273,8,FALSE())="est","est","-")</f>
        <v>-</v>
      </c>
      <c r="E164" s="527" t="s">
        <v>256</v>
      </c>
      <c r="F164" s="530" t="n">
        <v>3.42105263157895</v>
      </c>
      <c r="G164" s="530" t="s">
        <v>257</v>
      </c>
      <c r="H164" s="477"/>
      <c r="J164" s="527" t="s">
        <v>546</v>
      </c>
    </row>
    <row r="165" customFormat="false" ht="9.75" hidden="false" customHeight="true" outlineLevel="0" collapsed="false">
      <c r="A165" s="527" t="str">
        <f aca="false">'12.lan'!D482</f>
        <v>NLD Netherlands </v>
      </c>
      <c r="B165" s="527" t="s">
        <v>547</v>
      </c>
      <c r="C165" s="530" t="n">
        <f aca="false">VLOOKUP(B165,'12.ppp data'!$C$3:$J$273,7,FALSE())</f>
        <v>1.23714146094035</v>
      </c>
      <c r="D165" s="530" t="str">
        <f aca="false">IF(VLOOKUP(B165,'12.ppp data'!$C$3:$J$273,8,FALSE())="est","est","-")</f>
        <v>-</v>
      </c>
      <c r="E165" s="527" t="s">
        <v>266</v>
      </c>
      <c r="F165" s="530" t="n">
        <v>1</v>
      </c>
      <c r="G165" s="530"/>
      <c r="H165" s="477"/>
      <c r="J165" s="527" t="s">
        <v>548</v>
      </c>
    </row>
    <row r="166" customFormat="false" ht="9.75" hidden="false" customHeight="true" outlineLevel="0" collapsed="false">
      <c r="A166" s="527" t="str">
        <f aca="false">'12.lan'!D483</f>
        <v>NOR Norway </v>
      </c>
      <c r="B166" s="527" t="s">
        <v>549</v>
      </c>
      <c r="C166" s="530" t="n">
        <f aca="false">VLOOKUP(B166,'12.ppp data'!$C$3:$J$273,7,FALSE())</f>
        <v>0.91144613113908</v>
      </c>
      <c r="D166" s="530" t="str">
        <f aca="false">IF(VLOOKUP(B166,'12.ppp data'!$C$3:$J$273,8,FALSE())="est","est","-")</f>
        <v>-</v>
      </c>
      <c r="E166" s="527" t="s">
        <v>266</v>
      </c>
      <c r="F166" s="530" t="n">
        <v>1</v>
      </c>
      <c r="G166" s="530"/>
      <c r="H166" s="477"/>
      <c r="J166" s="527" t="s">
        <v>550</v>
      </c>
    </row>
    <row r="167" customFormat="false" ht="9.75" hidden="false" customHeight="true" outlineLevel="0" collapsed="false">
      <c r="A167" s="527" t="str">
        <f aca="false">'12.lan'!D484</f>
        <v>NPL Nepal </v>
      </c>
      <c r="B167" s="527" t="s">
        <v>551</v>
      </c>
      <c r="C167" s="530" t="n">
        <f aca="false">VLOOKUP(B167,'12.ppp data'!$C$3:$J$273,7,FALSE())</f>
        <v>3.5079000577966</v>
      </c>
      <c r="D167" s="530" t="str">
        <f aca="false">IF(VLOOKUP(B167,'12.ppp data'!$C$3:$J$273,8,FALSE())="est","est","-")</f>
        <v>-</v>
      </c>
      <c r="E167" s="527" t="s">
        <v>260</v>
      </c>
      <c r="F167" s="530" t="n">
        <v>4</v>
      </c>
      <c r="G167" s="530"/>
      <c r="H167" s="477"/>
      <c r="J167" s="527" t="s">
        <v>552</v>
      </c>
    </row>
    <row r="168" customFormat="false" ht="9.75" hidden="false" customHeight="true" outlineLevel="0" collapsed="false">
      <c r="A168" s="527" t="str">
        <f aca="false">'12.lan'!D485</f>
        <v>NRU Nauru </v>
      </c>
      <c r="B168" s="527" t="s">
        <v>553</v>
      </c>
      <c r="C168" s="530" t="n">
        <f aca="false">VLOOKUP(B168,'12.ppp data'!$C$3:$J$273,7,FALSE())</f>
        <v>1.88609880733593</v>
      </c>
      <c r="D168" s="530" t="str">
        <f aca="false">IF(VLOOKUP(B168,'12.ppp data'!$C$3:$J$273,8,FALSE())="est","est","-")</f>
        <v>-</v>
      </c>
      <c r="E168" s="527" t="s">
        <v>277</v>
      </c>
      <c r="F168" s="530" t="n">
        <v>3</v>
      </c>
      <c r="G168" s="530" t="s">
        <v>257</v>
      </c>
      <c r="H168" s="477"/>
      <c r="J168" s="527" t="s">
        <v>554</v>
      </c>
    </row>
    <row r="169" customFormat="false" ht="9.75" hidden="false" customHeight="true" outlineLevel="0" collapsed="false">
      <c r="A169" s="527" t="str">
        <f aca="false">'12.lan'!D486</f>
        <v>NZL New Zealand </v>
      </c>
      <c r="B169" s="527" t="s">
        <v>555</v>
      </c>
      <c r="C169" s="530" t="n">
        <f aca="false">VLOOKUP(B169,'12.ppp data'!$C$3:$J$273,7,FALSE())</f>
        <v>1.07607874212516</v>
      </c>
      <c r="D169" s="530" t="str">
        <f aca="false">IF(VLOOKUP(B169,'12.ppp data'!$C$3:$J$273,8,FALSE())="est","est","-")</f>
        <v>-</v>
      </c>
      <c r="E169" s="527" t="s">
        <v>277</v>
      </c>
      <c r="F169" s="530" t="n">
        <v>3</v>
      </c>
      <c r="G169" s="530" t="s">
        <v>257</v>
      </c>
      <c r="H169" s="477"/>
      <c r="J169" s="527" t="s">
        <v>556</v>
      </c>
    </row>
    <row r="170" customFormat="false" ht="9.75" hidden="false" customHeight="true" outlineLevel="0" collapsed="false">
      <c r="A170" s="527" t="str">
        <f aca="false">'12.lan'!D487</f>
        <v>OMN Oman </v>
      </c>
      <c r="B170" s="527" t="s">
        <v>557</v>
      </c>
      <c r="C170" s="530" t="n">
        <f aca="false">VLOOKUP(B170,'12.ppp data'!$C$3:$J$273,7,FALSE())</f>
        <v>2.99894922477162</v>
      </c>
      <c r="D170" s="530" t="str">
        <f aca="false">IF(VLOOKUP(B170,'12.ppp data'!$C$3:$J$273,8,FALSE())="est","est","-")</f>
        <v>-</v>
      </c>
      <c r="E170" s="527" t="s">
        <v>260</v>
      </c>
      <c r="F170" s="530" t="n">
        <v>4</v>
      </c>
      <c r="G170" s="530"/>
      <c r="H170" s="477"/>
      <c r="J170" s="527" t="s">
        <v>558</v>
      </c>
    </row>
    <row r="171" customFormat="false" ht="9.75" hidden="false" customHeight="true" outlineLevel="0" collapsed="false">
      <c r="A171" s="527" t="str">
        <f aca="false">'12.lan'!D488</f>
        <v>PAK Pakistan </v>
      </c>
      <c r="B171" s="527" t="s">
        <v>559</v>
      </c>
      <c r="C171" s="530" t="n">
        <f aca="false">VLOOKUP(B171,'12.ppp data'!$C$3:$J$273,7,FALSE())</f>
        <v>4.01618180859595</v>
      </c>
      <c r="D171" s="530" t="str">
        <f aca="false">IF(VLOOKUP(B171,'12.ppp data'!$C$3:$J$273,8,FALSE())="est","est","-")</f>
        <v>-</v>
      </c>
      <c r="E171" s="527" t="s">
        <v>260</v>
      </c>
      <c r="F171" s="530" t="n">
        <v>4</v>
      </c>
      <c r="G171" s="530"/>
      <c r="H171" s="477"/>
      <c r="J171" s="527" t="s">
        <v>560</v>
      </c>
    </row>
    <row r="172" customFormat="false" ht="9.75" hidden="false" customHeight="true" outlineLevel="0" collapsed="false">
      <c r="A172" s="527" t="str">
        <f aca="false">'12.lan'!D489</f>
        <v>PAN Panama </v>
      </c>
      <c r="B172" s="527" t="s">
        <v>561</v>
      </c>
      <c r="C172" s="530" t="n">
        <f aca="false">VLOOKUP(B172,'12.ppp data'!$C$3:$J$273,7,FALSE())</f>
        <v>1.83006779906169</v>
      </c>
      <c r="D172" s="530" t="str">
        <f aca="false">IF(VLOOKUP(B172,'12.ppp data'!$C$3:$J$273,8,FALSE())="est","est","-")</f>
        <v>-</v>
      </c>
      <c r="E172" s="527" t="s">
        <v>256</v>
      </c>
      <c r="F172" s="530" t="n">
        <v>4</v>
      </c>
      <c r="G172" s="530"/>
      <c r="H172" s="477"/>
      <c r="J172" s="527" t="s">
        <v>562</v>
      </c>
    </row>
    <row r="173" customFormat="false" ht="9.75" hidden="false" customHeight="true" outlineLevel="0" collapsed="false">
      <c r="A173" s="527" t="str">
        <f aca="false">'12.lan'!D490</f>
        <v>PER Peru </v>
      </c>
      <c r="B173" s="527" t="s">
        <v>563</v>
      </c>
      <c r="C173" s="530" t="n">
        <f aca="false">VLOOKUP(B173,'12.ppp data'!$C$3:$J$273,7,FALSE())</f>
        <v>2.28216515379713</v>
      </c>
      <c r="D173" s="530" t="str">
        <f aca="false">IF(VLOOKUP(B173,'12.ppp data'!$C$3:$J$273,8,FALSE())="est","est","-")</f>
        <v>-</v>
      </c>
      <c r="E173" s="527" t="s">
        <v>256</v>
      </c>
      <c r="F173" s="530" t="n">
        <v>4</v>
      </c>
      <c r="G173" s="530"/>
      <c r="H173" s="477"/>
      <c r="J173" s="527" t="s">
        <v>564</v>
      </c>
    </row>
    <row r="174" customFormat="false" ht="9.75" hidden="false" customHeight="true" outlineLevel="0" collapsed="false">
      <c r="A174" s="527" t="str">
        <f aca="false">'12.lan'!D491</f>
        <v>PHL Philippines </v>
      </c>
      <c r="B174" s="527" t="s">
        <v>565</v>
      </c>
      <c r="C174" s="530" t="n">
        <f aca="false">VLOOKUP(B174,'12.ppp data'!$C$3:$J$273,7,FALSE())</f>
        <v>3.14769869498838</v>
      </c>
      <c r="D174" s="530" t="str">
        <f aca="false">IF(VLOOKUP(B174,'12.ppp data'!$C$3:$J$273,8,FALSE())="est","est","-")</f>
        <v>-</v>
      </c>
      <c r="E174" s="527" t="s">
        <v>260</v>
      </c>
      <c r="F174" s="530" t="n">
        <v>5</v>
      </c>
      <c r="G174" s="530"/>
      <c r="H174" s="477"/>
      <c r="J174" s="527" t="s">
        <v>566</v>
      </c>
    </row>
    <row r="175" customFormat="false" ht="9.75" hidden="false" customHeight="true" outlineLevel="0" collapsed="false">
      <c r="A175" s="527" t="str">
        <f aca="false">'12.lan'!D492</f>
        <v>PLW Palau </v>
      </c>
      <c r="B175" s="527" t="s">
        <v>567</v>
      </c>
      <c r="C175" s="530" t="n">
        <f aca="false">VLOOKUP(B175,'12.ppp data'!$C$3:$J$273,7,FALSE())</f>
        <v>1.22366830689442</v>
      </c>
      <c r="D175" s="530" t="str">
        <f aca="false">IF(VLOOKUP(B175,'12.ppp data'!$C$3:$J$273,8,FALSE())="est","est","-")</f>
        <v>-</v>
      </c>
      <c r="E175" s="527" t="s">
        <v>277</v>
      </c>
      <c r="F175" s="530" t="n">
        <v>3</v>
      </c>
      <c r="G175" s="530" t="s">
        <v>257</v>
      </c>
      <c r="H175" s="477"/>
      <c r="J175" s="527" t="s">
        <v>568</v>
      </c>
    </row>
    <row r="176" customFormat="false" ht="9.75" hidden="false" customHeight="true" outlineLevel="0" collapsed="false">
      <c r="A176" s="527" t="str">
        <f aca="false">'12.lan'!D493</f>
        <v>PNG Papua New Guinea </v>
      </c>
      <c r="B176" s="527" t="s">
        <v>569</v>
      </c>
      <c r="C176" s="530" t="n">
        <f aca="false">VLOOKUP(B176,'12.ppp data'!$C$3:$J$273,7,FALSE())</f>
        <v>1.81785765698532</v>
      </c>
      <c r="D176" s="530" t="str">
        <f aca="false">IF(VLOOKUP(B176,'12.ppp data'!$C$3:$J$273,8,FALSE())="est","est","-")</f>
        <v>-</v>
      </c>
      <c r="E176" s="527" t="s">
        <v>277</v>
      </c>
      <c r="F176" s="530" t="n">
        <v>3</v>
      </c>
      <c r="G176" s="530" t="s">
        <v>257</v>
      </c>
      <c r="H176" s="477"/>
      <c r="J176" s="527" t="s">
        <v>570</v>
      </c>
    </row>
    <row r="177" customFormat="false" ht="9.75" hidden="false" customHeight="true" outlineLevel="0" collapsed="false">
      <c r="A177" s="527" t="str">
        <f aca="false">'12.lan'!D494</f>
        <v>POL Poland </v>
      </c>
      <c r="B177" s="527" t="s">
        <v>571</v>
      </c>
      <c r="C177" s="530" t="n">
        <f aca="false">VLOOKUP(B177,'12.ppp data'!$C$3:$J$273,7,FALSE())</f>
        <v>2.39207920980538</v>
      </c>
      <c r="D177" s="530" t="str">
        <f aca="false">IF(VLOOKUP(B177,'12.ppp data'!$C$3:$J$273,8,FALSE())="est","est","-")</f>
        <v>-</v>
      </c>
      <c r="E177" s="527" t="s">
        <v>266</v>
      </c>
      <c r="F177" s="530" t="n">
        <v>3</v>
      </c>
      <c r="G177" s="530"/>
      <c r="H177" s="477"/>
      <c r="J177" s="527" t="s">
        <v>572</v>
      </c>
    </row>
    <row r="178" customFormat="false" ht="9.75" hidden="false" customHeight="true" outlineLevel="0" collapsed="false">
      <c r="A178" s="527" t="str">
        <f aca="false">'12.lan'!D495</f>
        <v>PRI Puerto Rico </v>
      </c>
      <c r="B178" s="527" t="s">
        <v>573</v>
      </c>
      <c r="C178" s="530" t="n">
        <f aca="false">VLOOKUP(B178,'12.ppp data'!$C$3:$J$273,7,FALSE())</f>
        <v>1.96289944979353</v>
      </c>
      <c r="D178" s="530" t="str">
        <f aca="false">IF(VLOOKUP(B178,'12.ppp data'!$C$3:$J$273,8,FALSE())="est","est","-")</f>
        <v>est</v>
      </c>
      <c r="E178" s="527" t="s">
        <v>256</v>
      </c>
      <c r="F178" s="530" t="n">
        <v>3.42105263157895</v>
      </c>
      <c r="G178" s="530" t="s">
        <v>257</v>
      </c>
      <c r="H178" s="477"/>
      <c r="J178" s="527" t="s">
        <v>574</v>
      </c>
    </row>
    <row r="179" customFormat="false" ht="9.75" hidden="false" customHeight="true" outlineLevel="0" collapsed="false">
      <c r="A179" s="527" t="str">
        <f aca="false">'12.lan'!D496</f>
        <v>PRK Korea, Democratic People's Republic of </v>
      </c>
      <c r="B179" s="527" t="s">
        <v>575</v>
      </c>
      <c r="C179" s="530" t="n">
        <f aca="false">VLOOKUP(B179,'12.ppp data'!$C$3:$J$273,7,FALSE())</f>
        <v>3.00272943672245</v>
      </c>
      <c r="D179" s="530" t="str">
        <f aca="false">IF(VLOOKUP(B179,'12.ppp data'!$C$3:$J$273,8,FALSE())="est","est","-")</f>
        <v>est</v>
      </c>
      <c r="E179" s="527" t="s">
        <v>260</v>
      </c>
      <c r="F179" s="530" t="n">
        <v>4.17857142857143</v>
      </c>
      <c r="G179" s="530" t="s">
        <v>257</v>
      </c>
      <c r="H179" s="477"/>
      <c r="J179" s="527" t="s">
        <v>576</v>
      </c>
    </row>
    <row r="180" customFormat="false" ht="9.75" hidden="false" customHeight="true" outlineLevel="0" collapsed="false">
      <c r="A180" s="527" t="str">
        <f aca="false">'12.lan'!D497</f>
        <v>PRT Portugal </v>
      </c>
      <c r="B180" s="527" t="s">
        <v>577</v>
      </c>
      <c r="C180" s="530" t="n">
        <f aca="false">VLOOKUP(B180,'12.ppp data'!$C$3:$J$273,7,FALSE())</f>
        <v>1.71669399071269</v>
      </c>
      <c r="D180" s="530" t="str">
        <f aca="false">IF(VLOOKUP(B180,'12.ppp data'!$C$3:$J$273,8,FALSE())="est","est","-")</f>
        <v>-</v>
      </c>
      <c r="E180" s="527" t="s">
        <v>266</v>
      </c>
      <c r="F180" s="530" t="n">
        <v>3</v>
      </c>
      <c r="G180" s="530"/>
      <c r="H180" s="477"/>
      <c r="J180" s="527" t="s">
        <v>578</v>
      </c>
    </row>
    <row r="181" customFormat="false" ht="9.75" hidden="false" customHeight="true" outlineLevel="0" collapsed="false">
      <c r="A181" s="527" t="str">
        <f aca="false">'12.lan'!D498</f>
        <v>PRY Paraguay </v>
      </c>
      <c r="B181" s="527" t="s">
        <v>579</v>
      </c>
      <c r="C181" s="530" t="n">
        <f aca="false">VLOOKUP(B181,'12.ppp data'!$C$3:$J$273,7,FALSE())</f>
        <v>2.48547766885933</v>
      </c>
      <c r="D181" s="530" t="str">
        <f aca="false">IF(VLOOKUP(B181,'12.ppp data'!$C$3:$J$273,8,FALSE())="est","est","-")</f>
        <v>-</v>
      </c>
      <c r="E181" s="527" t="s">
        <v>256</v>
      </c>
      <c r="F181" s="530" t="n">
        <v>3</v>
      </c>
      <c r="G181" s="530"/>
      <c r="H181" s="477"/>
      <c r="J181" s="527" t="s">
        <v>580</v>
      </c>
    </row>
    <row r="182" customFormat="false" ht="9.75" hidden="false" customHeight="true" outlineLevel="0" collapsed="false">
      <c r="A182" s="527" t="str">
        <f aca="false">'12.lan'!D499</f>
        <v>PSE Palestinian Territory, Occupied </v>
      </c>
      <c r="B182" s="527" t="s">
        <v>581</v>
      </c>
      <c r="C182" s="530" t="n">
        <f aca="false">VLOOKUP(B182,'12.ppp data'!$C$3:$J$273,7,FALSE())</f>
        <v>3.00272943672245</v>
      </c>
      <c r="D182" s="530" t="str">
        <f aca="false">IF(VLOOKUP(B182,'12.ppp data'!$C$3:$J$273,8,FALSE())="est","est","-")</f>
        <v>est</v>
      </c>
      <c r="E182" s="527" t="s">
        <v>260</v>
      </c>
      <c r="F182" s="530" t="n">
        <v>4.17857142857143</v>
      </c>
      <c r="G182" s="530" t="s">
        <v>257</v>
      </c>
      <c r="H182" s="477"/>
      <c r="J182" s="527" t="s">
        <v>582</v>
      </c>
    </row>
    <row r="183" customFormat="false" ht="9.75" hidden="false" customHeight="true" outlineLevel="0" collapsed="false">
      <c r="A183" s="527" t="str">
        <f aca="false">'12.lan'!D500</f>
        <v>PYF French Polynesia </v>
      </c>
      <c r="B183" s="527" t="s">
        <v>583</v>
      </c>
      <c r="C183" s="530" t="n">
        <f aca="false">VLOOKUP(B183,'12.ppp data'!$C$3:$J$273,7,FALSE())</f>
        <v>1.35633083709363</v>
      </c>
      <c r="D183" s="530" t="str">
        <f aca="false">IF(VLOOKUP(B183,'12.ppp data'!$C$3:$J$273,8,FALSE())="est","est","-")</f>
        <v>est</v>
      </c>
      <c r="E183" s="527" t="s">
        <v>277</v>
      </c>
      <c r="F183" s="530" t="n">
        <v>3</v>
      </c>
      <c r="G183" s="530" t="s">
        <v>257</v>
      </c>
      <c r="H183" s="477"/>
      <c r="I183" s="529"/>
      <c r="J183" s="527" t="s">
        <v>584</v>
      </c>
    </row>
    <row r="184" customFormat="false" ht="9.75" hidden="false" customHeight="true" outlineLevel="0" collapsed="false">
      <c r="A184" s="527" t="str">
        <f aca="false">'12.lan'!D501</f>
        <v>QAT Qatar </v>
      </c>
      <c r="B184" s="527" t="s">
        <v>585</v>
      </c>
      <c r="C184" s="530" t="n">
        <f aca="false">VLOOKUP(B184,'12.ppp data'!$C$3:$J$273,7,FALSE())</f>
        <v>2.27544019899822</v>
      </c>
      <c r="D184" s="530" t="str">
        <f aca="false">IF(VLOOKUP(B184,'12.ppp data'!$C$3:$J$273,8,FALSE())="est","est","-")</f>
        <v>-</v>
      </c>
      <c r="E184" s="527" t="s">
        <v>260</v>
      </c>
      <c r="F184" s="530" t="n">
        <v>5</v>
      </c>
      <c r="G184" s="530"/>
      <c r="H184" s="477"/>
      <c r="J184" s="527" t="s">
        <v>586</v>
      </c>
    </row>
    <row r="185" customFormat="false" ht="9.75" hidden="false" customHeight="true" outlineLevel="0" collapsed="false">
      <c r="A185" s="527" t="str">
        <f aca="false">'12.lan'!D502</f>
        <v>ROU Romania </v>
      </c>
      <c r="B185" s="527" t="s">
        <v>587</v>
      </c>
      <c r="C185" s="530" t="n">
        <f aca="false">VLOOKUP(B185,'12.ppp data'!$C$3:$J$273,7,FALSE())</f>
        <v>2.69557227475973</v>
      </c>
      <c r="D185" s="530" t="str">
        <f aca="false">IF(VLOOKUP(B185,'12.ppp data'!$C$3:$J$273,8,FALSE())="est","est","-")</f>
        <v>-</v>
      </c>
      <c r="E185" s="527" t="s">
        <v>266</v>
      </c>
      <c r="F185" s="530" t="n">
        <v>3</v>
      </c>
      <c r="G185" s="530"/>
      <c r="H185" s="477"/>
      <c r="J185" s="527" t="s">
        <v>588</v>
      </c>
    </row>
    <row r="186" customFormat="false" ht="9.75" hidden="false" customHeight="true" outlineLevel="0" collapsed="false">
      <c r="A186" s="527" t="str">
        <f aca="false">'12.lan'!D503</f>
        <v>RUS Russian Federation </v>
      </c>
      <c r="B186" s="527" t="s">
        <v>589</v>
      </c>
      <c r="C186" s="530" t="n">
        <f aca="false">VLOOKUP(B186,'12.ppp data'!$C$3:$J$273,7,FALSE())</f>
        <v>2.68212657801862</v>
      </c>
      <c r="D186" s="530" t="str">
        <f aca="false">IF(VLOOKUP(B186,'12.ppp data'!$C$3:$J$273,8,FALSE())="est","est","-")</f>
        <v>-</v>
      </c>
      <c r="E186" s="527" t="s">
        <v>266</v>
      </c>
      <c r="F186" s="530" t="n">
        <v>2</v>
      </c>
      <c r="G186" s="530"/>
      <c r="H186" s="477"/>
      <c r="J186" s="527" t="s">
        <v>590</v>
      </c>
    </row>
    <row r="187" customFormat="false" ht="9.75" hidden="false" customHeight="true" outlineLevel="0" collapsed="false">
      <c r="A187" s="527" t="str">
        <f aca="false">'12.lan'!D504</f>
        <v>RWA Rwanda </v>
      </c>
      <c r="B187" s="527" t="s">
        <v>591</v>
      </c>
      <c r="C187" s="530" t="n">
        <f aca="false">VLOOKUP(B187,'12.ppp data'!$C$3:$J$273,7,FALSE())</f>
        <v>3.04228722120981</v>
      </c>
      <c r="D187" s="530" t="str">
        <f aca="false">IF(VLOOKUP(B187,'12.ppp data'!$C$3:$J$273,8,FALSE())="est","est","-")</f>
        <v>-</v>
      </c>
      <c r="E187" s="527" t="s">
        <v>263</v>
      </c>
      <c r="F187" s="530" t="n">
        <v>3.70833333333333</v>
      </c>
      <c r="G187" s="530" t="s">
        <v>257</v>
      </c>
      <c r="H187" s="477"/>
      <c r="J187" s="527" t="s">
        <v>592</v>
      </c>
    </row>
    <row r="188" customFormat="false" ht="9.75" hidden="false" customHeight="true" outlineLevel="0" collapsed="false">
      <c r="A188" s="527" t="str">
        <f aca="false">'12.lan'!D505</f>
        <v>SAU Saudi Arabia </v>
      </c>
      <c r="B188" s="527" t="s">
        <v>593</v>
      </c>
      <c r="C188" s="530" t="n">
        <f aca="false">VLOOKUP(B188,'12.ppp data'!$C$3:$J$273,7,FALSE())</f>
        <v>2.92773276934852</v>
      </c>
      <c r="D188" s="530" t="str">
        <f aca="false">IF(VLOOKUP(B188,'12.ppp data'!$C$3:$J$273,8,FALSE())="est","est","-")</f>
        <v>-</v>
      </c>
      <c r="E188" s="527" t="s">
        <v>260</v>
      </c>
      <c r="F188" s="530" t="n">
        <v>5</v>
      </c>
      <c r="G188" s="530"/>
      <c r="H188" s="477"/>
      <c r="J188" s="527" t="s">
        <v>594</v>
      </c>
    </row>
    <row r="189" customFormat="false" ht="9.75" hidden="false" customHeight="true" outlineLevel="0" collapsed="false">
      <c r="A189" s="527" t="str">
        <f aca="false">'12.lan'!D506</f>
        <v>SDN Sudan </v>
      </c>
      <c r="B189" s="527" t="s">
        <v>595</v>
      </c>
      <c r="C189" s="530" t="n">
        <f aca="false">VLOOKUP(B189,'12.ppp data'!$C$3:$J$273,7,FALSE())</f>
        <v>1.80343208624182</v>
      </c>
      <c r="D189" s="530" t="str">
        <f aca="false">IF(VLOOKUP(B189,'12.ppp data'!$C$3:$J$273,8,FALSE())="est","est","-")</f>
        <v>-</v>
      </c>
      <c r="E189" s="527" t="s">
        <v>263</v>
      </c>
      <c r="F189" s="530" t="n">
        <v>6</v>
      </c>
      <c r="G189" s="530"/>
      <c r="H189" s="477"/>
      <c r="J189" s="527" t="s">
        <v>596</v>
      </c>
    </row>
    <row r="190" customFormat="false" ht="9.75" hidden="false" customHeight="true" outlineLevel="0" collapsed="false">
      <c r="A190" s="527" t="str">
        <f aca="false">'12.lan'!D507</f>
        <v>SEN Senegal </v>
      </c>
      <c r="B190" s="527" t="s">
        <v>597</v>
      </c>
      <c r="C190" s="530" t="n">
        <f aca="false">VLOOKUP(B190,'12.ppp data'!$C$3:$J$273,7,FALSE())</f>
        <v>2.96283833559755</v>
      </c>
      <c r="D190" s="530" t="str">
        <f aca="false">IF(VLOOKUP(B190,'12.ppp data'!$C$3:$J$273,8,FALSE())="est","est","-")</f>
        <v>-</v>
      </c>
      <c r="E190" s="527" t="s">
        <v>263</v>
      </c>
      <c r="F190" s="530" t="n">
        <v>2</v>
      </c>
      <c r="G190" s="530"/>
      <c r="H190" s="477"/>
      <c r="J190" s="527" t="s">
        <v>598</v>
      </c>
    </row>
    <row r="191" customFormat="false" ht="9.75" hidden="false" customHeight="true" outlineLevel="0" collapsed="false">
      <c r="A191" s="527" t="str">
        <f aca="false">'12.lan'!D508</f>
        <v>SGP Singapore </v>
      </c>
      <c r="B191" s="527" t="s">
        <v>599</v>
      </c>
      <c r="C191" s="530" t="n">
        <f aca="false">VLOOKUP(B191,'12.ppp data'!$C$3:$J$273,7,FALSE())</f>
        <v>1.83748419171245</v>
      </c>
      <c r="D191" s="530" t="str">
        <f aca="false">IF(VLOOKUP(B191,'12.ppp data'!$C$3:$J$273,8,FALSE())="est","est","-")</f>
        <v>-</v>
      </c>
      <c r="E191" s="527" t="s">
        <v>260</v>
      </c>
      <c r="F191" s="530" t="n">
        <v>3</v>
      </c>
      <c r="G191" s="530"/>
      <c r="H191" s="477"/>
      <c r="J191" s="527" t="s">
        <v>600</v>
      </c>
    </row>
    <row r="192" customFormat="false" ht="9.75" hidden="false" customHeight="true" outlineLevel="0" collapsed="false">
      <c r="A192" s="527" t="str">
        <f aca="false">'12.lan'!D509</f>
        <v>SLB Solomon Islands </v>
      </c>
      <c r="B192" s="527" t="s">
        <v>601</v>
      </c>
      <c r="C192" s="530" t="n">
        <f aca="false">VLOOKUP(B192,'12.ppp data'!$C$3:$J$273,7,FALSE())</f>
        <v>1.24379365535015</v>
      </c>
      <c r="D192" s="530" t="str">
        <f aca="false">IF(VLOOKUP(B192,'12.ppp data'!$C$3:$J$273,8,FALSE())="est","est","-")</f>
        <v>-</v>
      </c>
      <c r="E192" s="527" t="s">
        <v>277</v>
      </c>
      <c r="F192" s="530" t="n">
        <v>3</v>
      </c>
      <c r="G192" s="530" t="s">
        <v>257</v>
      </c>
      <c r="H192" s="477"/>
      <c r="J192" s="527" t="s">
        <v>602</v>
      </c>
    </row>
    <row r="193" customFormat="false" ht="9.75" hidden="false" customHeight="true" outlineLevel="0" collapsed="false">
      <c r="A193" s="527" t="str">
        <f aca="false">'12.lan'!D510</f>
        <v>SLE Sierra Leone </v>
      </c>
      <c r="B193" s="527" t="s">
        <v>603</v>
      </c>
      <c r="C193" s="530" t="n">
        <f aca="false">VLOOKUP(B193,'12.ppp data'!$C$3:$J$273,7,FALSE())</f>
        <v>3.51807415921038</v>
      </c>
      <c r="D193" s="530" t="str">
        <f aca="false">IF(VLOOKUP(B193,'12.ppp data'!$C$3:$J$273,8,FALSE())="est","est","-")</f>
        <v>-</v>
      </c>
      <c r="E193" s="527" t="s">
        <v>263</v>
      </c>
      <c r="F193" s="530" t="n">
        <v>3.70833333333333</v>
      </c>
      <c r="G193" s="530" t="s">
        <v>257</v>
      </c>
      <c r="H193" s="477"/>
      <c r="J193" s="527" t="s">
        <v>604</v>
      </c>
    </row>
    <row r="194" customFormat="false" ht="9.75" hidden="false" customHeight="true" outlineLevel="0" collapsed="false">
      <c r="A194" s="527" t="str">
        <f aca="false">'12.lan'!D511</f>
        <v>SLV El Salvador </v>
      </c>
      <c r="B194" s="527" t="s">
        <v>605</v>
      </c>
      <c r="C194" s="530" t="n">
        <f aca="false">VLOOKUP(B194,'12.ppp data'!$C$3:$J$273,7,FALSE())</f>
        <v>2.32503109548962</v>
      </c>
      <c r="D194" s="530" t="str">
        <f aca="false">IF(VLOOKUP(B194,'12.ppp data'!$C$3:$J$273,8,FALSE())="est","est","-")</f>
        <v>-</v>
      </c>
      <c r="E194" s="527" t="s">
        <v>256</v>
      </c>
      <c r="F194" s="530" t="n">
        <v>4</v>
      </c>
      <c r="G194" s="530"/>
      <c r="H194" s="477"/>
      <c r="J194" s="527" t="s">
        <v>606</v>
      </c>
    </row>
    <row r="195" customFormat="false" ht="9.75" hidden="false" customHeight="true" outlineLevel="0" collapsed="false">
      <c r="A195" s="527" t="str">
        <f aca="false">'12.lan'!D512</f>
        <v>SMR San Marino </v>
      </c>
      <c r="B195" s="527" t="s">
        <v>607</v>
      </c>
      <c r="C195" s="530" t="n">
        <f aca="false">VLOOKUP(B195,'12.ppp data'!$C$3:$J$273,7,FALSE())</f>
        <v>1.41645118186608</v>
      </c>
      <c r="D195" s="530" t="str">
        <f aca="false">IF(VLOOKUP(B195,'12.ppp data'!$C$3:$J$273,8,FALSE())="est","est","-")</f>
        <v>-</v>
      </c>
      <c r="E195" s="527" t="s">
        <v>266</v>
      </c>
      <c r="F195" s="530" t="n">
        <v>2</v>
      </c>
      <c r="G195" s="530" t="s">
        <v>257</v>
      </c>
      <c r="H195" s="477"/>
      <c r="J195" s="527" t="s">
        <v>608</v>
      </c>
    </row>
    <row r="196" customFormat="false" ht="9.75" hidden="false" customHeight="true" outlineLevel="0" collapsed="false">
      <c r="A196" s="527" t="str">
        <f aca="false">'12.lan'!D513</f>
        <v>SOM Somalia </v>
      </c>
      <c r="B196" s="527" t="s">
        <v>609</v>
      </c>
      <c r="C196" s="530" t="n">
        <f aca="false">VLOOKUP(B196,'12.ppp data'!$C$3:$J$273,7,FALSE())</f>
        <v>3.03256163278312</v>
      </c>
      <c r="D196" s="530" t="str">
        <f aca="false">IF(VLOOKUP(B196,'12.ppp data'!$C$3:$J$273,8,FALSE())="est","est","-")</f>
        <v>est</v>
      </c>
      <c r="E196" s="527" t="s">
        <v>263</v>
      </c>
      <c r="F196" s="530" t="n">
        <v>3.70833333333333</v>
      </c>
      <c r="G196" s="530" t="s">
        <v>257</v>
      </c>
      <c r="H196" s="477"/>
      <c r="J196" s="527" t="s">
        <v>610</v>
      </c>
    </row>
    <row r="197" customFormat="false" ht="9.75" hidden="false" customHeight="true" outlineLevel="0" collapsed="false">
      <c r="A197" s="527" t="str">
        <f aca="false">'12.lan'!D514</f>
        <v>SRB Serbia </v>
      </c>
      <c r="B197" s="527" t="s">
        <v>611</v>
      </c>
      <c r="C197" s="530" t="n">
        <f aca="false">VLOOKUP(B197,'12.ppp data'!$C$3:$J$273,7,FALSE())</f>
        <v>2.87918793467832</v>
      </c>
      <c r="D197" s="530" t="str">
        <f aca="false">IF(VLOOKUP(B197,'12.ppp data'!$C$3:$J$273,8,FALSE())="est","est","-")</f>
        <v>-</v>
      </c>
      <c r="E197" s="527" t="s">
        <v>266</v>
      </c>
      <c r="F197" s="530" t="n">
        <v>2</v>
      </c>
      <c r="G197" s="530"/>
      <c r="H197" s="477"/>
      <c r="J197" s="527" t="s">
        <v>612</v>
      </c>
    </row>
    <row r="198" customFormat="false" ht="9.75" hidden="false" customHeight="true" outlineLevel="0" collapsed="false">
      <c r="A198" s="527" t="str">
        <f aca="false">'12.lan'!D515</f>
        <v>SSD South Sudan </v>
      </c>
      <c r="B198" s="527" t="s">
        <v>613</v>
      </c>
      <c r="C198" s="530" t="n">
        <f aca="false">VLOOKUP(B198,'12.ppp data'!$C$3:$J$273,7,FALSE())</f>
        <v>3.03256163278312</v>
      </c>
      <c r="D198" s="530" t="str">
        <f aca="false">IF(VLOOKUP(B198,'12.ppp data'!$C$3:$J$273,8,FALSE())="est","est","-")</f>
        <v>est</v>
      </c>
      <c r="E198" s="527" t="s">
        <v>263</v>
      </c>
      <c r="F198" s="530" t="n">
        <v>3.70833333333333</v>
      </c>
      <c r="G198" s="530" t="s">
        <v>257</v>
      </c>
      <c r="H198" s="477"/>
      <c r="J198" s="527" t="s">
        <v>614</v>
      </c>
    </row>
    <row r="199" customFormat="false" ht="9.75" hidden="false" customHeight="true" outlineLevel="0" collapsed="false">
      <c r="A199" s="527" t="str">
        <f aca="false">'12.lan'!D516</f>
        <v>STP Sao Tome and Principe </v>
      </c>
      <c r="B199" s="527" t="s">
        <v>615</v>
      </c>
      <c r="C199" s="530" t="n">
        <f aca="false">VLOOKUP(B199,'12.ppp data'!$C$3:$J$273,7,FALSE())</f>
        <v>3.03256163278312</v>
      </c>
      <c r="D199" s="530" t="str">
        <f aca="false">IF(VLOOKUP(B199,'12.ppp data'!$C$3:$J$273,8,FALSE())="est","est","-")</f>
        <v>est</v>
      </c>
      <c r="E199" s="527" t="s">
        <v>263</v>
      </c>
      <c r="F199" s="530" t="n">
        <v>3.70833333333333</v>
      </c>
      <c r="G199" s="530" t="s">
        <v>257</v>
      </c>
      <c r="H199" s="477"/>
      <c r="J199" s="527" t="s">
        <v>616</v>
      </c>
    </row>
    <row r="200" customFormat="false" ht="9.75" hidden="false" customHeight="true" outlineLevel="0" collapsed="false">
      <c r="A200" s="527" t="str">
        <f aca="false">'12.lan'!D517</f>
        <v>SUR Suriname </v>
      </c>
      <c r="B200" s="527" t="s">
        <v>617</v>
      </c>
      <c r="C200" s="530" t="n">
        <f aca="false">VLOOKUP(B200,'12.ppp data'!$C$3:$J$273,7,FALSE())</f>
        <v>2.86873392034463</v>
      </c>
      <c r="D200" s="530" t="str">
        <f aca="false">IF(VLOOKUP(B200,'12.ppp data'!$C$3:$J$273,8,FALSE())="est","est","-")</f>
        <v>-</v>
      </c>
      <c r="E200" s="527" t="s">
        <v>256</v>
      </c>
      <c r="F200" s="530" t="n">
        <v>3.42105263157895</v>
      </c>
      <c r="G200" s="530" t="s">
        <v>257</v>
      </c>
      <c r="H200" s="477"/>
      <c r="J200" s="527" t="s">
        <v>618</v>
      </c>
    </row>
    <row r="201" customFormat="false" ht="9.75" hidden="false" customHeight="true" outlineLevel="0" collapsed="false">
      <c r="A201" s="527" t="str">
        <f aca="false">'12.lan'!D518</f>
        <v>SVK Slovakia </v>
      </c>
      <c r="B201" s="527" t="s">
        <v>619</v>
      </c>
      <c r="C201" s="530" t="n">
        <f aca="false">VLOOKUP(B201,'12.ppp data'!$C$3:$J$273,7,FALSE())</f>
        <v>2.05538861232493</v>
      </c>
      <c r="D201" s="530" t="str">
        <f aca="false">IF(VLOOKUP(B201,'12.ppp data'!$C$3:$J$273,8,FALSE())="est","est","-")</f>
        <v>-</v>
      </c>
      <c r="E201" s="527" t="s">
        <v>266</v>
      </c>
      <c r="F201" s="530" t="n">
        <v>1</v>
      </c>
      <c r="G201" s="530"/>
      <c r="H201" s="477"/>
      <c r="J201" s="527" t="s">
        <v>620</v>
      </c>
    </row>
    <row r="202" customFormat="false" ht="9.75" hidden="false" customHeight="true" outlineLevel="0" collapsed="false">
      <c r="A202" s="527" t="str">
        <f aca="false">'12.lan'!D519</f>
        <v>SVN Slovenia </v>
      </c>
      <c r="B202" s="527" t="s">
        <v>621</v>
      </c>
      <c r="C202" s="530" t="n">
        <f aca="false">VLOOKUP(B202,'12.ppp data'!$C$3:$J$273,7,FALSE())</f>
        <v>1.66195502417314</v>
      </c>
      <c r="D202" s="530" t="str">
        <f aca="false">IF(VLOOKUP(B202,'12.ppp data'!$C$3:$J$273,8,FALSE())="est","est","-")</f>
        <v>-</v>
      </c>
      <c r="E202" s="527" t="s">
        <v>266</v>
      </c>
      <c r="F202" s="530" t="n">
        <v>1</v>
      </c>
      <c r="G202" s="530"/>
      <c r="H202" s="477"/>
      <c r="J202" s="527" t="s">
        <v>622</v>
      </c>
    </row>
    <row r="203" customFormat="false" ht="9.75" hidden="false" customHeight="true" outlineLevel="0" collapsed="false">
      <c r="A203" s="527" t="str">
        <f aca="false">'12.lan'!D520</f>
        <v>SWE Sweden </v>
      </c>
      <c r="B203" s="527" t="s">
        <v>623</v>
      </c>
      <c r="C203" s="530" t="n">
        <f aca="false">VLOOKUP(B203,'12.ppp data'!$C$3:$J$273,7,FALSE())</f>
        <v>1.05723642324011</v>
      </c>
      <c r="D203" s="530" t="str">
        <f aca="false">IF(VLOOKUP(B203,'12.ppp data'!$C$3:$J$273,8,FALSE())="est","est","-")</f>
        <v>-</v>
      </c>
      <c r="E203" s="527" t="s">
        <v>266</v>
      </c>
      <c r="F203" s="530" t="n">
        <v>1</v>
      </c>
      <c r="G203" s="530"/>
      <c r="H203" s="477"/>
      <c r="J203" s="527" t="s">
        <v>624</v>
      </c>
    </row>
    <row r="204" customFormat="false" ht="9.75" hidden="false" customHeight="true" outlineLevel="0" collapsed="false">
      <c r="A204" s="527" t="str">
        <f aca="false">'12.lan'!D521</f>
        <v>SWZ Swaziland </v>
      </c>
      <c r="B204" s="527" t="s">
        <v>625</v>
      </c>
      <c r="C204" s="530" t="n">
        <f aca="false">VLOOKUP(B204,'12.ppp data'!$C$3:$J$273,7,FALSE())</f>
        <v>2.9684852436677</v>
      </c>
      <c r="D204" s="530" t="str">
        <f aca="false">IF(VLOOKUP(B204,'12.ppp data'!$C$3:$J$273,8,FALSE())="est","est","-")</f>
        <v>-</v>
      </c>
      <c r="E204" s="527" t="s">
        <v>263</v>
      </c>
      <c r="F204" s="530" t="n">
        <v>3.70833333333333</v>
      </c>
      <c r="G204" s="530" t="s">
        <v>257</v>
      </c>
      <c r="H204" s="477"/>
      <c r="J204" s="527" t="s">
        <v>626</v>
      </c>
    </row>
    <row r="205" customFormat="false" ht="9.75" hidden="false" customHeight="true" outlineLevel="0" collapsed="false">
      <c r="A205" s="527" t="str">
        <f aca="false">'12.lan'!D522</f>
        <v>SXM Sint Maarten (Dutch part) </v>
      </c>
      <c r="B205" s="527" t="s">
        <v>627</v>
      </c>
      <c r="C205" s="530" t="n">
        <f aca="false">VLOOKUP(B205,'12.ppp data'!$C$3:$J$273,7,FALSE())</f>
        <v>1.96289944979353</v>
      </c>
      <c r="D205" s="530" t="str">
        <f aca="false">IF(VLOOKUP(B205,'12.ppp data'!$C$3:$J$273,8,FALSE())="est","est","-")</f>
        <v>est</v>
      </c>
      <c r="E205" s="527" t="s">
        <v>256</v>
      </c>
      <c r="F205" s="530" t="n">
        <v>3.42105263157895</v>
      </c>
      <c r="G205" s="530" t="s">
        <v>257</v>
      </c>
      <c r="H205" s="477"/>
      <c r="I205" s="529"/>
      <c r="J205" s="527" t="s">
        <v>628</v>
      </c>
    </row>
    <row r="206" customFormat="false" ht="9.75" hidden="false" customHeight="true" outlineLevel="0" collapsed="false">
      <c r="A206" s="527" t="str">
        <f aca="false">'12.lan'!D523</f>
        <v>SYC Seychelles </v>
      </c>
      <c r="B206" s="527" t="s">
        <v>629</v>
      </c>
      <c r="C206" s="530" t="n">
        <f aca="false">VLOOKUP(B206,'12.ppp data'!$C$3:$J$273,7,FALSE())</f>
        <v>1.96703404516381</v>
      </c>
      <c r="D206" s="530" t="str">
        <f aca="false">IF(VLOOKUP(B206,'12.ppp data'!$C$3:$J$273,8,FALSE())="est","est","-")</f>
        <v>-</v>
      </c>
      <c r="E206" s="527" t="s">
        <v>263</v>
      </c>
      <c r="F206" s="530" t="n">
        <v>3.70833333333333</v>
      </c>
      <c r="G206" s="530" t="s">
        <v>257</v>
      </c>
      <c r="H206" s="477"/>
      <c r="J206" s="527" t="s">
        <v>630</v>
      </c>
    </row>
    <row r="207" customFormat="false" ht="9.75" hidden="false" customHeight="true" outlineLevel="0" collapsed="false">
      <c r="A207" s="527" t="str">
        <f aca="false">'12.lan'!D524</f>
        <v>SYR Syrian Arab Republic </v>
      </c>
      <c r="B207" s="527" t="s">
        <v>631</v>
      </c>
      <c r="C207" s="530" t="n">
        <f aca="false">VLOOKUP(B207,'12.ppp data'!$C$3:$J$273,7,FALSE())</f>
        <v>3.00272943672245</v>
      </c>
      <c r="D207" s="530" t="str">
        <f aca="false">IF(VLOOKUP(B207,'12.ppp data'!$C$3:$J$273,8,FALSE())="est","est","-")</f>
        <v>est</v>
      </c>
      <c r="E207" s="527" t="s">
        <v>260</v>
      </c>
      <c r="F207" s="530" t="n">
        <v>4.17857142857143</v>
      </c>
      <c r="G207" s="530" t="s">
        <v>257</v>
      </c>
      <c r="H207" s="477"/>
      <c r="J207" s="527" t="s">
        <v>632</v>
      </c>
    </row>
    <row r="208" customFormat="false" ht="9.75" hidden="false" customHeight="true" outlineLevel="0" collapsed="false">
      <c r="A208" s="527" t="str">
        <f aca="false">'12.lan'!D525</f>
        <v>TCA Turks and Caicos Islands </v>
      </c>
      <c r="B208" s="527" t="s">
        <v>633</v>
      </c>
      <c r="C208" s="530" t="n">
        <f aca="false">VLOOKUP(B208,'12.ppp data'!$C$3:$J$273,7,FALSE())</f>
        <v>1.96289944979353</v>
      </c>
      <c r="D208" s="530" t="str">
        <f aca="false">IF(VLOOKUP(B208,'12.ppp data'!$C$3:$J$273,8,FALSE())="est","est","-")</f>
        <v>est</v>
      </c>
      <c r="E208" s="527" t="s">
        <v>256</v>
      </c>
      <c r="F208" s="530" t="n">
        <v>3.42105263157895</v>
      </c>
      <c r="G208" s="530" t="s">
        <v>257</v>
      </c>
      <c r="H208" s="477"/>
      <c r="J208" s="527" t="s">
        <v>634</v>
      </c>
    </row>
    <row r="209" customFormat="false" ht="9.75" hidden="false" customHeight="true" outlineLevel="0" collapsed="false">
      <c r="A209" s="527" t="str">
        <f aca="false">'12.lan'!D526</f>
        <v>TCD Chad </v>
      </c>
      <c r="B209" s="527" t="s">
        <v>635</v>
      </c>
      <c r="C209" s="530" t="n">
        <f aca="false">VLOOKUP(B209,'12.ppp data'!$C$3:$J$273,7,FALSE())</f>
        <v>3.27192380698926</v>
      </c>
      <c r="D209" s="530" t="str">
        <f aca="false">IF(VLOOKUP(B209,'12.ppp data'!$C$3:$J$273,8,FALSE())="est","est","-")</f>
        <v>-</v>
      </c>
      <c r="E209" s="527" t="s">
        <v>263</v>
      </c>
      <c r="F209" s="530" t="n">
        <v>3</v>
      </c>
      <c r="G209" s="530"/>
      <c r="H209" s="477"/>
      <c r="J209" s="527" t="s">
        <v>636</v>
      </c>
    </row>
    <row r="210" customFormat="false" ht="9.75" hidden="false" customHeight="true" outlineLevel="0" collapsed="false">
      <c r="A210" s="527" t="str">
        <f aca="false">'12.lan'!D527</f>
        <v>TGO Togo </v>
      </c>
      <c r="B210" s="527" t="s">
        <v>637</v>
      </c>
      <c r="C210" s="530" t="n">
        <f aca="false">VLOOKUP(B210,'12.ppp data'!$C$3:$J$273,7,FALSE())</f>
        <v>2.870177332468</v>
      </c>
      <c r="D210" s="530" t="str">
        <f aca="false">IF(VLOOKUP(B210,'12.ppp data'!$C$3:$J$273,8,FALSE())="est","est","-")</f>
        <v>-</v>
      </c>
      <c r="E210" s="527" t="s">
        <v>263</v>
      </c>
      <c r="F210" s="530" t="n">
        <v>3.70833333333333</v>
      </c>
      <c r="G210" s="530" t="s">
        <v>257</v>
      </c>
      <c r="H210" s="477"/>
      <c r="J210" s="527" t="s">
        <v>638</v>
      </c>
    </row>
    <row r="211" customFormat="false" ht="9.75" hidden="false" customHeight="true" outlineLevel="0" collapsed="false">
      <c r="A211" s="527" t="str">
        <f aca="false">'12.lan'!D528</f>
        <v>THA Thailand </v>
      </c>
      <c r="B211" s="527" t="s">
        <v>639</v>
      </c>
      <c r="C211" s="530" t="n">
        <f aca="false">VLOOKUP(B211,'12.ppp data'!$C$3:$J$273,7,FALSE())</f>
        <v>3.0545723851266</v>
      </c>
      <c r="D211" s="530" t="str">
        <f aca="false">IF(VLOOKUP(B211,'12.ppp data'!$C$3:$J$273,8,FALSE())="est","est","-")</f>
        <v>-</v>
      </c>
      <c r="E211" s="527" t="s">
        <v>260</v>
      </c>
      <c r="F211" s="530" t="n">
        <v>4</v>
      </c>
      <c r="G211" s="530"/>
      <c r="H211" s="477"/>
      <c r="J211" s="527" t="s">
        <v>640</v>
      </c>
    </row>
    <row r="212" customFormat="false" ht="9.75" hidden="false" customHeight="true" outlineLevel="0" collapsed="false">
      <c r="A212" s="527" t="str">
        <f aca="false">'12.lan'!D529</f>
        <v>TJK Tajikistan </v>
      </c>
      <c r="B212" s="527" t="s">
        <v>641</v>
      </c>
      <c r="C212" s="530" t="n">
        <f aca="false">VLOOKUP(B212,'12.ppp data'!$C$3:$J$273,7,FALSE())</f>
        <v>4.45444809050921</v>
      </c>
      <c r="D212" s="530" t="str">
        <f aca="false">IF(VLOOKUP(B212,'12.ppp data'!$C$3:$J$273,8,FALSE())="est","est","-")</f>
        <v>-</v>
      </c>
      <c r="E212" s="527" t="s">
        <v>260</v>
      </c>
      <c r="F212" s="530" t="n">
        <v>4.17857142857143</v>
      </c>
      <c r="G212" s="530" t="s">
        <v>257</v>
      </c>
      <c r="H212" s="477"/>
      <c r="J212" s="527" t="s">
        <v>642</v>
      </c>
    </row>
    <row r="213" customFormat="false" ht="9.75" hidden="false" customHeight="true" outlineLevel="0" collapsed="false">
      <c r="A213" s="527" t="str">
        <f aca="false">'12.lan'!D530</f>
        <v>TKM Turkmenistan </v>
      </c>
      <c r="B213" s="527" t="s">
        <v>643</v>
      </c>
      <c r="C213" s="530" t="n">
        <f aca="false">VLOOKUP(B213,'12.ppp data'!$C$3:$J$273,7,FALSE())</f>
        <v>2.69286416638208</v>
      </c>
      <c r="D213" s="530" t="str">
        <f aca="false">IF(VLOOKUP(B213,'12.ppp data'!$C$3:$J$273,8,FALSE())="est","est","-")</f>
        <v>-</v>
      </c>
      <c r="E213" s="527" t="s">
        <v>260</v>
      </c>
      <c r="F213" s="530" t="n">
        <v>4.17857142857143</v>
      </c>
      <c r="G213" s="530" t="s">
        <v>257</v>
      </c>
      <c r="H213" s="477"/>
      <c r="J213" s="527" t="s">
        <v>644</v>
      </c>
    </row>
    <row r="214" customFormat="false" ht="9.75" hidden="false" customHeight="true" outlineLevel="0" collapsed="false">
      <c r="A214" s="527" t="str">
        <f aca="false">'12.lan'!D531</f>
        <v>TLS Timor-Leste </v>
      </c>
      <c r="B214" s="527" t="s">
        <v>645</v>
      </c>
      <c r="C214" s="530" t="n">
        <f aca="false">VLOOKUP(B214,'12.ppp data'!$C$3:$J$273,7,FALSE())</f>
        <v>3.57442983561029</v>
      </c>
      <c r="D214" s="530" t="str">
        <f aca="false">IF(VLOOKUP(B214,'12.ppp data'!$C$3:$J$273,8,FALSE())="est","est","-")</f>
        <v>-</v>
      </c>
      <c r="E214" s="527" t="s">
        <v>260</v>
      </c>
      <c r="F214" s="530" t="n">
        <v>4.17857142857143</v>
      </c>
      <c r="G214" s="530" t="s">
        <v>257</v>
      </c>
      <c r="H214" s="477"/>
      <c r="J214" s="527" t="s">
        <v>646</v>
      </c>
    </row>
    <row r="215" customFormat="false" ht="9.75" hidden="false" customHeight="true" outlineLevel="0" collapsed="false">
      <c r="A215" s="527" t="str">
        <f aca="false">'12.lan'!D532</f>
        <v>TON Tonga </v>
      </c>
      <c r="B215" s="527" t="s">
        <v>647</v>
      </c>
      <c r="C215" s="530" t="n">
        <f aca="false">VLOOKUP(B215,'12.ppp data'!$C$3:$J$273,7,FALSE())</f>
        <v>1.74882856259574</v>
      </c>
      <c r="D215" s="530" t="str">
        <f aca="false">IF(VLOOKUP(B215,'12.ppp data'!$C$3:$J$273,8,FALSE())="est","est","-")</f>
        <v>-</v>
      </c>
      <c r="E215" s="527" t="s">
        <v>277</v>
      </c>
      <c r="F215" s="530" t="n">
        <v>3</v>
      </c>
      <c r="G215" s="530" t="s">
        <v>257</v>
      </c>
      <c r="H215" s="477"/>
      <c r="J215" s="527" t="s">
        <v>648</v>
      </c>
    </row>
    <row r="216" customFormat="false" ht="9.75" hidden="false" customHeight="true" outlineLevel="0" collapsed="false">
      <c r="A216" s="527" t="str">
        <f aca="false">'12.lan'!D533</f>
        <v>TTO Trinidad and Tobago </v>
      </c>
      <c r="B216" s="527" t="s">
        <v>649</v>
      </c>
      <c r="C216" s="530" t="n">
        <f aca="false">VLOOKUP(B216,'12.ppp data'!$C$3:$J$273,7,FALSE())</f>
        <v>2.1624826708371</v>
      </c>
      <c r="D216" s="530" t="str">
        <f aca="false">IF(VLOOKUP(B216,'12.ppp data'!$C$3:$J$273,8,FALSE())="est","est","-")</f>
        <v>-</v>
      </c>
      <c r="E216" s="527" t="s">
        <v>256</v>
      </c>
      <c r="F216" s="530" t="n">
        <v>3.42105263157895</v>
      </c>
      <c r="G216" s="530" t="s">
        <v>257</v>
      </c>
      <c r="H216" s="477"/>
      <c r="J216" s="527" t="s">
        <v>650</v>
      </c>
    </row>
    <row r="217" customFormat="false" ht="9.75" hidden="false" customHeight="true" outlineLevel="0" collapsed="false">
      <c r="A217" s="527" t="str">
        <f aca="false">'12.lan'!D534</f>
        <v>TUN Tunisia </v>
      </c>
      <c r="B217" s="527" t="s">
        <v>651</v>
      </c>
      <c r="C217" s="530" t="n">
        <f aca="false">VLOOKUP(B217,'12.ppp data'!$C$3:$J$273,7,FALSE())</f>
        <v>3.81299347501787</v>
      </c>
      <c r="D217" s="530" t="str">
        <f aca="false">IF(VLOOKUP(B217,'12.ppp data'!$C$3:$J$273,8,FALSE())="est","est","-")</f>
        <v>-</v>
      </c>
      <c r="E217" s="527" t="s">
        <v>263</v>
      </c>
      <c r="F217" s="530" t="n">
        <v>3.70833333333333</v>
      </c>
      <c r="G217" s="530" t="s">
        <v>257</v>
      </c>
      <c r="H217" s="477"/>
      <c r="J217" s="527" t="s">
        <v>652</v>
      </c>
    </row>
    <row r="218" customFormat="false" ht="9.75" hidden="false" customHeight="true" outlineLevel="0" collapsed="false">
      <c r="A218" s="527" t="str">
        <f aca="false">'12.lan'!D535</f>
        <v>TUR Turkey </v>
      </c>
      <c r="B218" s="527" t="s">
        <v>653</v>
      </c>
      <c r="C218" s="530" t="n">
        <f aca="false">VLOOKUP(B218,'12.ppp data'!$C$3:$J$273,7,FALSE())</f>
        <v>2.98746103438262</v>
      </c>
      <c r="D218" s="530" t="str">
        <f aca="false">IF(VLOOKUP(B218,'12.ppp data'!$C$3:$J$273,8,FALSE())="est","est","-")</f>
        <v>-</v>
      </c>
      <c r="E218" s="527" t="s">
        <v>260</v>
      </c>
      <c r="F218" s="530" t="n">
        <v>5</v>
      </c>
      <c r="G218" s="530"/>
      <c r="H218" s="477"/>
      <c r="J218" s="527" t="s">
        <v>654</v>
      </c>
    </row>
    <row r="219" customFormat="false" ht="9.75" hidden="false" customHeight="true" outlineLevel="0" collapsed="false">
      <c r="A219" s="527" t="str">
        <f aca="false">'12.lan'!D536</f>
        <v>TUV Tuvalu </v>
      </c>
      <c r="B219" s="527" t="s">
        <v>655</v>
      </c>
      <c r="C219" s="530" t="n">
        <f aca="false">VLOOKUP(B219,'12.ppp data'!$C$3:$J$273,7,FALSE())</f>
        <v>1.25792177772362</v>
      </c>
      <c r="D219" s="530" t="str">
        <f aca="false">IF(VLOOKUP(B219,'12.ppp data'!$C$3:$J$273,8,FALSE())="est","est","-")</f>
        <v>-</v>
      </c>
      <c r="E219" s="527" t="s">
        <v>277</v>
      </c>
      <c r="F219" s="530" t="n">
        <v>3</v>
      </c>
      <c r="G219" s="530" t="s">
        <v>257</v>
      </c>
      <c r="H219" s="477"/>
      <c r="J219" s="527" t="s">
        <v>656</v>
      </c>
    </row>
    <row r="220" customFormat="false" ht="9.75" hidden="false" customHeight="true" outlineLevel="0" collapsed="false">
      <c r="A220" s="527" t="str">
        <f aca="false">'12.lan'!D537</f>
        <v>TZA Tanzania, United Republic of </v>
      </c>
      <c r="B220" s="527" t="s">
        <v>657</v>
      </c>
      <c r="C220" s="530" t="n">
        <f aca="false">VLOOKUP(B220,'12.ppp data'!$C$3:$J$273,7,FALSE())</f>
        <v>3.51393292517737</v>
      </c>
      <c r="D220" s="530" t="str">
        <f aca="false">IF(VLOOKUP(B220,'12.ppp data'!$C$3:$J$273,8,FALSE())="est","est","-")</f>
        <v>-</v>
      </c>
      <c r="E220" s="527" t="s">
        <v>263</v>
      </c>
      <c r="F220" s="530" t="n">
        <v>3</v>
      </c>
      <c r="G220" s="530"/>
      <c r="H220" s="477"/>
      <c r="J220" s="527" t="s">
        <v>658</v>
      </c>
    </row>
    <row r="221" customFormat="false" ht="9.75" hidden="false" customHeight="true" outlineLevel="0" collapsed="false">
      <c r="A221" s="527" t="str">
        <f aca="false">'12.lan'!D538</f>
        <v>UGA Uganda </v>
      </c>
      <c r="B221" s="527" t="s">
        <v>659</v>
      </c>
      <c r="C221" s="530" t="n">
        <f aca="false">VLOOKUP(B221,'12.ppp data'!$C$3:$J$273,7,FALSE())</f>
        <v>3.52833705552021</v>
      </c>
      <c r="D221" s="530" t="str">
        <f aca="false">IF(VLOOKUP(B221,'12.ppp data'!$C$3:$J$273,8,FALSE())="est","est","-")</f>
        <v>-</v>
      </c>
      <c r="E221" s="527" t="s">
        <v>263</v>
      </c>
      <c r="F221" s="530" t="n">
        <v>3</v>
      </c>
      <c r="G221" s="530"/>
      <c r="H221" s="477"/>
      <c r="J221" s="527" t="s">
        <v>660</v>
      </c>
    </row>
    <row r="222" customFormat="false" ht="9.75" hidden="false" customHeight="true" outlineLevel="0" collapsed="false">
      <c r="A222" s="527" t="str">
        <f aca="false">'12.lan'!D539</f>
        <v>UKR Ukraine </v>
      </c>
      <c r="B222" s="527" t="s">
        <v>661</v>
      </c>
      <c r="C222" s="530" t="n">
        <f aca="false">VLOOKUP(B222,'12.ppp data'!$C$3:$J$273,7,FALSE())</f>
        <v>3.68188875221352</v>
      </c>
      <c r="D222" s="530" t="str">
        <f aca="false">IF(VLOOKUP(B222,'12.ppp data'!$C$3:$J$273,8,FALSE())="est","est","-")</f>
        <v>-</v>
      </c>
      <c r="E222" s="527" t="s">
        <v>266</v>
      </c>
      <c r="F222" s="530" t="n">
        <v>6</v>
      </c>
      <c r="G222" s="530"/>
      <c r="H222" s="477"/>
      <c r="J222" s="527" t="s">
        <v>662</v>
      </c>
    </row>
    <row r="223" customFormat="false" ht="9.75" hidden="false" customHeight="true" outlineLevel="0" collapsed="false">
      <c r="A223" s="527" t="str">
        <f aca="false">'12.lan'!D540</f>
        <v>URY Uruguay </v>
      </c>
      <c r="B223" s="527" t="s">
        <v>663</v>
      </c>
      <c r="C223" s="530" t="n">
        <f aca="false">VLOOKUP(B223,'12.ppp data'!$C$3:$J$273,7,FALSE())</f>
        <v>1.46570022305667</v>
      </c>
      <c r="D223" s="530" t="str">
        <f aca="false">IF(VLOOKUP(B223,'12.ppp data'!$C$3:$J$273,8,FALSE())="est","est","-")</f>
        <v>-</v>
      </c>
      <c r="E223" s="527" t="s">
        <v>256</v>
      </c>
      <c r="F223" s="530" t="n">
        <v>1</v>
      </c>
      <c r="G223" s="530"/>
      <c r="H223" s="477"/>
      <c r="J223" s="527" t="s">
        <v>664</v>
      </c>
    </row>
    <row r="224" customFormat="false" ht="9.75" hidden="false" customHeight="true" outlineLevel="0" collapsed="false">
      <c r="A224" s="527" t="str">
        <f aca="false">'12.lan'!D541</f>
        <v>USA United States </v>
      </c>
      <c r="B224" s="527" t="s">
        <v>665</v>
      </c>
      <c r="C224" s="530" t="n">
        <f aca="false">VLOOKUP(B224,'12.ppp data'!$C$3:$J$273,7,FALSE())</f>
        <v>1.12949</v>
      </c>
      <c r="D224" s="530" t="str">
        <f aca="false">IF(VLOOKUP(B224,'12.ppp data'!$C$3:$J$273,8,FALSE())="est","est","-")</f>
        <v>-</v>
      </c>
      <c r="E224" s="527" t="s">
        <v>256</v>
      </c>
      <c r="F224" s="530" t="n">
        <v>4</v>
      </c>
      <c r="G224" s="530"/>
      <c r="H224" s="477"/>
      <c r="J224" s="527" t="s">
        <v>666</v>
      </c>
    </row>
    <row r="225" customFormat="false" ht="9.75" hidden="false" customHeight="true" outlineLevel="0" collapsed="false">
      <c r="A225" s="527" t="str">
        <f aca="false">'12.lan'!D542</f>
        <v>UZB Uzbekistan </v>
      </c>
      <c r="B225" s="527" t="s">
        <v>667</v>
      </c>
      <c r="C225" s="530" t="n">
        <f aca="false">VLOOKUP(B225,'12.ppp data'!$C$3:$J$273,7,FALSE())</f>
        <v>5.11089127208673</v>
      </c>
      <c r="D225" s="530" t="str">
        <f aca="false">IF(VLOOKUP(B225,'12.ppp data'!$C$3:$J$273,8,FALSE())="est","est","-")</f>
        <v>-</v>
      </c>
      <c r="E225" s="527" t="s">
        <v>260</v>
      </c>
      <c r="F225" s="530" t="n">
        <v>4.17857142857143</v>
      </c>
      <c r="G225" s="530" t="s">
        <v>257</v>
      </c>
      <c r="H225" s="477"/>
      <c r="J225" s="527" t="s">
        <v>668</v>
      </c>
    </row>
    <row r="226" customFormat="false" ht="9.75" hidden="false" customHeight="true" outlineLevel="0" collapsed="false">
      <c r="A226" s="527" t="str">
        <f aca="false">'12.lan'!D543</f>
        <v>VCT Saint Vincent and the Grenadines </v>
      </c>
      <c r="B226" s="527" t="s">
        <v>669</v>
      </c>
      <c r="C226" s="530" t="n">
        <f aca="false">VLOOKUP(B226,'12.ppp data'!$C$3:$J$273,7,FALSE())</f>
        <v>1.85128745821471</v>
      </c>
      <c r="D226" s="530" t="str">
        <f aca="false">IF(VLOOKUP(B226,'12.ppp data'!$C$3:$J$273,8,FALSE())="est","est","-")</f>
        <v>-</v>
      </c>
      <c r="E226" s="527" t="s">
        <v>256</v>
      </c>
      <c r="F226" s="530" t="n">
        <v>3.42105263157895</v>
      </c>
      <c r="G226" s="530" t="s">
        <v>257</v>
      </c>
      <c r="H226" s="477"/>
      <c r="J226" s="527" t="s">
        <v>670</v>
      </c>
    </row>
    <row r="227" customFormat="false" ht="9.75" hidden="false" customHeight="true" outlineLevel="0" collapsed="false">
      <c r="A227" s="527" t="str">
        <f aca="false">'12.lan'!D544</f>
        <v>VEN Venezuela, Bolivarian Republic of </v>
      </c>
      <c r="B227" s="527" t="s">
        <v>671</v>
      </c>
      <c r="C227" s="530" t="n">
        <f aca="false">VLOOKUP(B227,'12.ppp data'!$C$3:$J$273,7,FALSE())</f>
        <v>1.96289944979353</v>
      </c>
      <c r="D227" s="530" t="str">
        <f aca="false">IF(VLOOKUP(B227,'12.ppp data'!$C$3:$J$273,8,FALSE())="est","est","-")</f>
        <v>est</v>
      </c>
      <c r="E227" s="527" t="s">
        <v>256</v>
      </c>
      <c r="F227" s="530" t="n">
        <v>3</v>
      </c>
      <c r="G227" s="530"/>
      <c r="H227" s="477"/>
      <c r="J227" s="527" t="s">
        <v>672</v>
      </c>
    </row>
    <row r="228" customFormat="false" ht="9.75" hidden="false" customHeight="true" outlineLevel="0" collapsed="false">
      <c r="A228" s="527" t="str">
        <f aca="false">'12.lan'!D545</f>
        <v>VGB Virgin Islands, British </v>
      </c>
      <c r="B228" s="527" t="s">
        <v>673</v>
      </c>
      <c r="C228" s="530" t="n">
        <f aca="false">VLOOKUP(B228,'12.ppp data'!$C$3:$J$273,7,FALSE())</f>
        <v>1.96289944979353</v>
      </c>
      <c r="D228" s="530" t="str">
        <f aca="false">IF(VLOOKUP(B228,'12.ppp data'!$C$3:$J$273,8,FALSE())="est","est","-")</f>
        <v>est</v>
      </c>
      <c r="E228" s="527" t="s">
        <v>256</v>
      </c>
      <c r="F228" s="530" t="n">
        <v>3.42105263157895</v>
      </c>
      <c r="G228" s="530" t="s">
        <v>257</v>
      </c>
      <c r="H228" s="477"/>
      <c r="J228" s="527" t="s">
        <v>674</v>
      </c>
    </row>
    <row r="229" customFormat="false" ht="9.75" hidden="false" customHeight="true" outlineLevel="0" collapsed="false">
      <c r="A229" s="527" t="str">
        <f aca="false">'12.lan'!D546</f>
        <v>VIR Virgin Islands, U.S. </v>
      </c>
      <c r="B229" s="527" t="s">
        <v>675</v>
      </c>
      <c r="C229" s="530" t="n">
        <f aca="false">VLOOKUP(B229,'12.ppp data'!$C$3:$J$273,7,FALSE())</f>
        <v>1.96289944979353</v>
      </c>
      <c r="D229" s="530" t="str">
        <f aca="false">IF(VLOOKUP(B229,'12.ppp data'!$C$3:$J$273,8,FALSE())="est","est","-")</f>
        <v>est</v>
      </c>
      <c r="E229" s="527" t="s">
        <v>256</v>
      </c>
      <c r="F229" s="530" t="n">
        <v>3.42105263157895</v>
      </c>
      <c r="G229" s="530" t="s">
        <v>257</v>
      </c>
      <c r="H229" s="477"/>
      <c r="J229" s="527" t="s">
        <v>676</v>
      </c>
    </row>
    <row r="230" customFormat="false" ht="9.75" hidden="false" customHeight="true" outlineLevel="0" collapsed="false">
      <c r="A230" s="527" t="str">
        <f aca="false">'12.lan'!D547</f>
        <v>VNM Viet Nam </v>
      </c>
      <c r="B230" s="527" t="s">
        <v>677</v>
      </c>
      <c r="C230" s="530" t="n">
        <f aca="false">VLOOKUP(B230,'12.ppp data'!$C$3:$J$273,7,FALSE())</f>
        <v>3.27883966964401</v>
      </c>
      <c r="D230" s="530" t="str">
        <f aca="false">IF(VLOOKUP(B230,'12.ppp data'!$C$3:$J$273,8,FALSE())="est","est","-")</f>
        <v>-</v>
      </c>
      <c r="E230" s="527" t="s">
        <v>260</v>
      </c>
      <c r="F230" s="530" t="n">
        <v>4.17857142857143</v>
      </c>
      <c r="G230" s="530" t="s">
        <v>257</v>
      </c>
      <c r="H230" s="477"/>
      <c r="J230" s="527" t="s">
        <v>678</v>
      </c>
    </row>
    <row r="231" customFormat="false" ht="9.75" hidden="false" customHeight="true" outlineLevel="0" collapsed="false">
      <c r="A231" s="527" t="str">
        <f aca="false">'12.lan'!D548</f>
        <v>VUT Vanuatu </v>
      </c>
      <c r="B231" s="527" t="s">
        <v>679</v>
      </c>
      <c r="C231" s="530" t="n">
        <f aca="false">VLOOKUP(B231,'12.ppp data'!$C$3:$J$273,7,FALSE())</f>
        <v>1.15944366563601</v>
      </c>
      <c r="D231" s="530" t="str">
        <f aca="false">IF(VLOOKUP(B231,'12.ppp data'!$C$3:$J$273,8,FALSE())="est","est","-")</f>
        <v>-</v>
      </c>
      <c r="E231" s="527" t="s">
        <v>277</v>
      </c>
      <c r="F231" s="530" t="n">
        <v>3</v>
      </c>
      <c r="G231" s="530" t="s">
        <v>257</v>
      </c>
      <c r="H231" s="477"/>
      <c r="J231" s="527" t="s">
        <v>680</v>
      </c>
    </row>
    <row r="232" customFormat="false" ht="9.75" hidden="false" customHeight="true" outlineLevel="0" collapsed="false">
      <c r="A232" s="527" t="str">
        <f aca="false">'12.lan'!D549</f>
        <v>WSM Samoa </v>
      </c>
      <c r="B232" s="527" t="s">
        <v>681</v>
      </c>
      <c r="C232" s="530" t="n">
        <f aca="false">VLOOKUP(B232,'12.ppp data'!$C$3:$J$273,7,FALSE())</f>
        <v>0.687662221419364</v>
      </c>
      <c r="D232" s="530" t="str">
        <f aca="false">IF(VLOOKUP(B232,'12.ppp data'!$C$3:$J$273,8,FALSE())="est","est","-")</f>
        <v>-</v>
      </c>
      <c r="E232" s="527" t="s">
        <v>277</v>
      </c>
      <c r="F232" s="530" t="n">
        <v>3</v>
      </c>
      <c r="G232" s="530" t="s">
        <v>257</v>
      </c>
      <c r="H232" s="477"/>
      <c r="J232" s="527" t="s">
        <v>682</v>
      </c>
    </row>
    <row r="233" customFormat="false" ht="9.75" hidden="false" customHeight="true" outlineLevel="0" collapsed="false">
      <c r="A233" s="527" t="str">
        <f aca="false">'12.lan'!D550</f>
        <v>XKX Kosovo</v>
      </c>
      <c r="B233" s="527" t="s">
        <v>683</v>
      </c>
      <c r="C233" s="530" t="n">
        <f aca="false">VLOOKUP(B233,'12.ppp data'!$C$3:$J$273,7,FALSE())</f>
        <v>3.51525356456448</v>
      </c>
      <c r="D233" s="530" t="str">
        <f aca="false">IF(VLOOKUP(B233,'12.ppp data'!$C$3:$J$273,8,FALSE())="est","est","-")</f>
        <v>-</v>
      </c>
      <c r="E233" s="527" t="s">
        <v>266</v>
      </c>
      <c r="F233" s="530" t="n">
        <v>2</v>
      </c>
      <c r="G233" s="530" t="s">
        <v>257</v>
      </c>
      <c r="H233" s="477"/>
      <c r="J233" s="527" t="s">
        <v>684</v>
      </c>
    </row>
    <row r="234" customFormat="false" ht="9.75" hidden="false" customHeight="true" outlineLevel="0" collapsed="false">
      <c r="A234" s="527" t="str">
        <f aca="false">'12.lan'!D551</f>
        <v>YEM Yemen </v>
      </c>
      <c r="B234" s="527" t="s">
        <v>685</v>
      </c>
      <c r="C234" s="530" t="n">
        <f aca="false">VLOOKUP(B234,'12.ppp data'!$C$3:$J$273,7,FALSE())</f>
        <v>3.00272943672245</v>
      </c>
      <c r="D234" s="530" t="str">
        <f aca="false">IF(VLOOKUP(B234,'12.ppp data'!$C$3:$J$273,8,FALSE())="est","est","-")</f>
        <v>est</v>
      </c>
      <c r="E234" s="527" t="s">
        <v>260</v>
      </c>
      <c r="F234" s="530" t="n">
        <v>4.17857142857143</v>
      </c>
      <c r="G234" s="530" t="s">
        <v>257</v>
      </c>
      <c r="H234" s="477"/>
      <c r="J234" s="527" t="s">
        <v>686</v>
      </c>
    </row>
    <row r="235" customFormat="false" ht="9.75" hidden="false" customHeight="true" outlineLevel="0" collapsed="false">
      <c r="A235" s="527" t="str">
        <f aca="false">'12.lan'!D552</f>
        <v>ZAF South Africa </v>
      </c>
      <c r="B235" s="527" t="s">
        <v>687</v>
      </c>
      <c r="C235" s="530" t="n">
        <f aca="false">VLOOKUP(B235,'12.ppp data'!$C$3:$J$273,7,FALSE())</f>
        <v>2.47213265312851</v>
      </c>
      <c r="D235" s="530" t="str">
        <f aca="false">IF(VLOOKUP(B235,'12.ppp data'!$C$3:$J$273,8,FALSE())="est","est","-")</f>
        <v>-</v>
      </c>
      <c r="E235" s="527" t="s">
        <v>263</v>
      </c>
      <c r="F235" s="530" t="n">
        <v>1</v>
      </c>
      <c r="G235" s="530"/>
      <c r="H235" s="477"/>
      <c r="I235" s="529"/>
      <c r="J235" s="527" t="s">
        <v>688</v>
      </c>
    </row>
    <row r="236" customFormat="false" ht="9.75" hidden="false" customHeight="true" outlineLevel="0" collapsed="false">
      <c r="A236" s="527" t="str">
        <f aca="false">'12.lan'!D553</f>
        <v>ZMB Zambia </v>
      </c>
      <c r="B236" s="527" t="s">
        <v>689</v>
      </c>
      <c r="C236" s="530" t="n">
        <f aca="false">VLOOKUP(B236,'12.ppp data'!$C$3:$J$273,7,FALSE())</f>
        <v>3.02176670175857</v>
      </c>
      <c r="D236" s="530" t="str">
        <f aca="false">IF(VLOOKUP(B236,'12.ppp data'!$C$3:$J$273,8,FALSE())="est","est","-")</f>
        <v>-</v>
      </c>
      <c r="E236" s="527" t="s">
        <v>263</v>
      </c>
      <c r="F236" s="530" t="n">
        <v>5</v>
      </c>
      <c r="G236" s="530"/>
      <c r="H236" s="477"/>
      <c r="J236" s="527" t="s">
        <v>690</v>
      </c>
    </row>
    <row r="237" customFormat="false" ht="9.75" hidden="false" customHeight="true" outlineLevel="0" collapsed="false">
      <c r="A237" s="527" t="str">
        <f aca="false">'12.lan'!D554</f>
        <v>ZWE Zimbabwe </v>
      </c>
      <c r="B237" s="527" t="s">
        <v>691</v>
      </c>
      <c r="C237" s="530" t="n">
        <f aca="false">VLOOKUP(B237,'12.ppp data'!$C$3:$J$273,7,FALSE())</f>
        <v>3.03256163278312</v>
      </c>
      <c r="D237" s="530" t="str">
        <f aca="false">IF(VLOOKUP(B237,'12.ppp data'!$C$3:$J$273,8,FALSE())="est","est","-")</f>
        <v>est</v>
      </c>
      <c r="E237" s="527" t="s">
        <v>263</v>
      </c>
      <c r="F237" s="530" t="n">
        <v>5</v>
      </c>
      <c r="G237" s="530"/>
      <c r="H237" s="477"/>
      <c r="J237" s="527" t="s">
        <v>692</v>
      </c>
    </row>
    <row r="238" customFormat="false" ht="9.75" hidden="false" customHeight="true" outlineLevel="0" collapsed="false">
      <c r="A238" s="527" t="str">
        <f aca="false">'12.lan'!D555</f>
        <v>Average Africa</v>
      </c>
      <c r="B238" s="527" t="s">
        <v>263</v>
      </c>
      <c r="C238" s="535" t="n">
        <f aca="false">'12.ppp data'!K3</f>
        <v>3.03256163278312</v>
      </c>
      <c r="D238" s="535"/>
      <c r="E238" s="527"/>
      <c r="F238" s="535" t="n">
        <v>3.70833333333333</v>
      </c>
      <c r="G238" s="527"/>
      <c r="H238" s="477"/>
      <c r="J238" s="527" t="s">
        <v>693</v>
      </c>
    </row>
    <row r="239" customFormat="false" ht="9.75" hidden="false" customHeight="true" outlineLevel="0" collapsed="false">
      <c r="A239" s="527" t="str">
        <f aca="false">'12.lan'!D556</f>
        <v>Average Americas</v>
      </c>
      <c r="B239" s="527" t="s">
        <v>256</v>
      </c>
      <c r="C239" s="535" t="n">
        <f aca="false">'12.ppp data'!K57</f>
        <v>1.96289944979353</v>
      </c>
      <c r="D239" s="535"/>
      <c r="E239" s="527"/>
      <c r="F239" s="530" t="n">
        <v>3.42105263157895</v>
      </c>
      <c r="G239" s="527"/>
      <c r="H239" s="477"/>
      <c r="J239" s="527" t="s">
        <v>694</v>
      </c>
    </row>
    <row r="240" customFormat="false" ht="9.75" hidden="false" customHeight="true" outlineLevel="0" collapsed="false">
      <c r="A240" s="527" t="str">
        <f aca="false">'12.lan'!D557</f>
        <v>Average Asia</v>
      </c>
      <c r="B240" s="536" t="s">
        <v>260</v>
      </c>
      <c r="C240" s="535" t="n">
        <f aca="false">'12.ppp data'!K103</f>
        <v>3.00272943672245</v>
      </c>
      <c r="D240" s="536"/>
      <c r="E240" s="527"/>
      <c r="F240" s="535" t="n">
        <v>4.17857142857143</v>
      </c>
      <c r="G240" s="527"/>
      <c r="H240" s="477"/>
      <c r="J240" s="527" t="s">
        <v>695</v>
      </c>
    </row>
    <row r="241" customFormat="false" ht="9.75" hidden="false" customHeight="true" outlineLevel="0" collapsed="false">
      <c r="A241" s="527" t="str">
        <f aca="false">'12.lan'!D558</f>
        <v>Average Europe</v>
      </c>
      <c r="B241" s="527" t="s">
        <v>266</v>
      </c>
      <c r="C241" s="535" t="n">
        <f aca="false">'12.ppp data'!K153</f>
        <v>1.93286164519776</v>
      </c>
      <c r="D241" s="535"/>
      <c r="E241" s="527"/>
      <c r="F241" s="535" t="n">
        <v>2</v>
      </c>
      <c r="G241" s="527"/>
      <c r="H241" s="477"/>
      <c r="J241" s="527" t="s">
        <v>696</v>
      </c>
    </row>
    <row r="242" customFormat="false" ht="9.75" hidden="false" customHeight="true" outlineLevel="0" collapsed="false">
      <c r="A242" s="527" t="str">
        <f aca="false">'12.lan'!D559</f>
        <v>Average Oceania</v>
      </c>
      <c r="B242" s="536" t="s">
        <v>277</v>
      </c>
      <c r="C242" s="535" t="n">
        <f aca="false">'12.ppp data'!K200</f>
        <v>1.35633083709363</v>
      </c>
      <c r="D242" s="535"/>
      <c r="E242" s="527"/>
      <c r="F242" s="535" t="n">
        <v>3</v>
      </c>
      <c r="G242" s="527"/>
      <c r="H242" s="477"/>
      <c r="J242" s="527" t="s">
        <v>697</v>
      </c>
    </row>
    <row r="243" s="476" customFormat="true" ht="9.75" hidden="false" customHeight="true" outlineLevel="0" collapsed="false">
      <c r="A243" s="527" t="n">
        <f aca="false">'12.lan'!D560</f>
        <v>0</v>
      </c>
      <c r="C243" s="476" t="n">
        <v>0.978035862587365</v>
      </c>
      <c r="E243" s="537"/>
      <c r="F243" s="537" t="n">
        <v>3.23809523809524</v>
      </c>
      <c r="G243" s="538"/>
      <c r="H243" s="477"/>
      <c r="J243" s="476" t="s">
        <v>698</v>
      </c>
    </row>
    <row r="244" s="476" customFormat="true" ht="9.75" hidden="false" customHeight="true" outlineLevel="0" collapsed="false">
      <c r="E244" s="537"/>
      <c r="F244" s="537"/>
      <c r="G244" s="538"/>
      <c r="H244" s="477"/>
    </row>
    <row r="245" s="476" customFormat="true" ht="9.75" hidden="false" customHeight="true" outlineLevel="0" collapsed="false">
      <c r="C245" s="529"/>
      <c r="D245" s="529"/>
      <c r="E245" s="539"/>
      <c r="F245" s="539"/>
      <c r="G245" s="540"/>
      <c r="H245" s="528"/>
      <c r="I245" s="529"/>
    </row>
    <row r="246" s="476" customFormat="true" ht="9.75" hidden="false" customHeight="true" outlineLevel="0" collapsed="false">
      <c r="E246" s="537"/>
      <c r="F246" s="537"/>
      <c r="G246" s="538"/>
      <c r="H246" s="477"/>
    </row>
    <row r="247" s="476" customFormat="true" ht="9.75" hidden="false" customHeight="true" outlineLevel="0" collapsed="false">
      <c r="E247" s="537"/>
      <c r="F247" s="537"/>
      <c r="G247" s="538"/>
      <c r="H247" s="477"/>
    </row>
    <row r="248" s="476" customFormat="true" ht="9.75" hidden="false" customHeight="true" outlineLevel="0" collapsed="false">
      <c r="E248" s="537"/>
      <c r="F248" s="537"/>
      <c r="G248" s="538"/>
      <c r="H248" s="477"/>
    </row>
    <row r="249" s="476" customFormat="true" ht="9.75" hidden="false" customHeight="true" outlineLevel="0" collapsed="false">
      <c r="E249" s="537"/>
      <c r="F249" s="537"/>
      <c r="G249" s="538"/>
      <c r="H249" s="477"/>
    </row>
    <row r="250" s="476" customFormat="true" ht="9.75" hidden="false" customHeight="true" outlineLevel="0" collapsed="false">
      <c r="E250" s="537"/>
      <c r="F250" s="537"/>
      <c r="G250" s="538"/>
      <c r="H250" s="477"/>
    </row>
    <row r="251" s="476" customFormat="true" ht="9.75" hidden="false" customHeight="true" outlineLevel="0" collapsed="false">
      <c r="E251" s="537"/>
      <c r="F251" s="537"/>
      <c r="G251" s="538"/>
      <c r="H251" s="477"/>
    </row>
    <row r="252" s="476" customFormat="true" ht="9.75" hidden="false" customHeight="true" outlineLevel="0" collapsed="false">
      <c r="E252" s="537"/>
      <c r="F252" s="537"/>
      <c r="G252" s="538"/>
      <c r="H252" s="477"/>
    </row>
    <row r="253" s="476" customFormat="true" ht="9.75" hidden="false" customHeight="true" outlineLevel="0" collapsed="false">
      <c r="E253" s="537"/>
      <c r="F253" s="537"/>
      <c r="G253" s="538"/>
      <c r="H253" s="477"/>
    </row>
    <row r="254" s="476" customFormat="true" ht="9.75" hidden="false" customHeight="true" outlineLevel="0" collapsed="false">
      <c r="E254" s="537"/>
      <c r="F254" s="537"/>
      <c r="G254" s="538"/>
      <c r="H254" s="477"/>
    </row>
    <row r="255" s="476" customFormat="true" ht="9.75" hidden="false" customHeight="true" outlineLevel="0" collapsed="false">
      <c r="E255" s="537"/>
      <c r="F255" s="537"/>
      <c r="G255" s="538"/>
      <c r="H255" s="477"/>
    </row>
    <row r="256" s="476" customFormat="true" ht="9.75" hidden="false" customHeight="true" outlineLevel="0" collapsed="false">
      <c r="E256" s="537"/>
      <c r="F256" s="537"/>
      <c r="G256" s="538"/>
      <c r="H256" s="477"/>
    </row>
    <row r="257" s="476" customFormat="true" ht="9.75" hidden="false" customHeight="true" outlineLevel="0" collapsed="false">
      <c r="E257" s="537"/>
      <c r="F257" s="537"/>
      <c r="G257" s="538"/>
      <c r="H257" s="477"/>
    </row>
    <row r="258" s="476" customFormat="true" ht="9.75" hidden="false" customHeight="true" outlineLevel="0" collapsed="false">
      <c r="E258" s="537"/>
      <c r="F258" s="537"/>
      <c r="G258" s="538"/>
      <c r="H258" s="477"/>
    </row>
    <row r="259" s="476" customFormat="true" ht="9.75" hidden="false" customHeight="true" outlineLevel="0" collapsed="false">
      <c r="E259" s="537"/>
      <c r="F259" s="537"/>
      <c r="G259" s="538"/>
      <c r="H259" s="477"/>
    </row>
    <row r="260" s="476" customFormat="true" ht="9.75" hidden="false" customHeight="true" outlineLevel="0" collapsed="false">
      <c r="E260" s="537"/>
      <c r="F260" s="537"/>
      <c r="G260" s="538"/>
      <c r="H260" s="477"/>
    </row>
    <row r="261" s="476" customFormat="true" ht="9.75" hidden="false" customHeight="true" outlineLevel="0" collapsed="false">
      <c r="E261" s="537"/>
      <c r="F261" s="537"/>
      <c r="G261" s="538"/>
      <c r="H261" s="477"/>
    </row>
    <row r="262" s="476" customFormat="true" ht="9.75" hidden="false" customHeight="true" outlineLevel="0" collapsed="false">
      <c r="E262" s="537"/>
      <c r="F262" s="537"/>
      <c r="G262" s="538"/>
      <c r="H262" s="477"/>
    </row>
    <row r="263" s="476" customFormat="true" ht="9.75" hidden="false" customHeight="true" outlineLevel="0" collapsed="false">
      <c r="E263" s="537"/>
      <c r="F263" s="537"/>
      <c r="G263" s="538"/>
      <c r="H263" s="477"/>
    </row>
    <row r="264" s="476" customFormat="true" ht="9.75" hidden="false" customHeight="true" outlineLevel="0" collapsed="false">
      <c r="E264" s="537"/>
      <c r="F264" s="537"/>
      <c r="G264" s="538"/>
      <c r="H264" s="477"/>
    </row>
    <row r="265" s="476" customFormat="true" ht="9.75" hidden="false" customHeight="true" outlineLevel="0" collapsed="false">
      <c r="E265" s="537"/>
      <c r="F265" s="537"/>
      <c r="G265" s="538"/>
      <c r="H265" s="477"/>
    </row>
    <row r="266" s="476" customFormat="true" ht="9.75" hidden="false" customHeight="true" outlineLevel="0" collapsed="false">
      <c r="E266" s="537"/>
      <c r="F266" s="537"/>
      <c r="G266" s="538"/>
      <c r="H266" s="477"/>
    </row>
    <row r="267" s="476" customFormat="true" ht="9.75" hidden="false" customHeight="true" outlineLevel="0" collapsed="false">
      <c r="E267" s="537"/>
      <c r="F267" s="537"/>
      <c r="G267" s="538"/>
      <c r="H267" s="477"/>
    </row>
    <row r="268" s="476" customFormat="true" ht="9.75" hidden="false" customHeight="true" outlineLevel="0" collapsed="false">
      <c r="E268" s="537"/>
      <c r="F268" s="537"/>
      <c r="G268" s="538"/>
      <c r="H268" s="477"/>
    </row>
    <row r="269" s="476" customFormat="true" ht="9.75" hidden="false" customHeight="true" outlineLevel="0" collapsed="false">
      <c r="E269" s="537"/>
      <c r="F269" s="537"/>
      <c r="G269" s="538"/>
      <c r="H269" s="477"/>
    </row>
    <row r="270" s="476" customFormat="true" ht="9.75" hidden="false" customHeight="true" outlineLevel="0" collapsed="false">
      <c r="E270" s="537"/>
      <c r="F270" s="537"/>
      <c r="G270" s="538"/>
      <c r="H270" s="477"/>
    </row>
    <row r="271" s="476" customFormat="true" ht="9.75" hidden="false" customHeight="true" outlineLevel="0" collapsed="false">
      <c r="E271" s="537"/>
      <c r="F271" s="537"/>
      <c r="G271" s="538"/>
      <c r="H271" s="477"/>
    </row>
    <row r="272" s="476" customFormat="true" ht="9.75" hidden="false" customHeight="true" outlineLevel="0" collapsed="false">
      <c r="E272" s="537"/>
      <c r="F272" s="537"/>
      <c r="G272" s="538"/>
      <c r="H272" s="477"/>
    </row>
    <row r="273" s="476" customFormat="true" ht="9.75" hidden="false" customHeight="true" outlineLevel="0" collapsed="false">
      <c r="E273" s="537"/>
      <c r="F273" s="537"/>
      <c r="G273" s="538"/>
      <c r="H273" s="477"/>
    </row>
    <row r="274" s="476" customFormat="true" ht="9.75" hidden="false" customHeight="true" outlineLevel="0" collapsed="false">
      <c r="E274" s="537"/>
      <c r="F274" s="537"/>
      <c r="G274" s="538"/>
      <c r="H274" s="477"/>
    </row>
    <row r="275" s="476" customFormat="true" ht="9.75" hidden="false" customHeight="true" outlineLevel="0" collapsed="false">
      <c r="E275" s="537"/>
      <c r="F275" s="537"/>
      <c r="G275" s="538"/>
      <c r="H275" s="477"/>
    </row>
    <row r="276" s="476" customFormat="true" ht="9.75" hidden="false" customHeight="true" outlineLevel="0" collapsed="false">
      <c r="E276" s="537"/>
      <c r="F276" s="537"/>
      <c r="G276" s="538"/>
      <c r="H276" s="477"/>
    </row>
    <row r="277" customFormat="false" ht="9.75" hidden="false" customHeight="true" outlineLevel="0" collapsed="false">
      <c r="B277" s="529"/>
      <c r="C277" s="529"/>
      <c r="D277" s="529"/>
      <c r="E277" s="539"/>
      <c r="F277" s="539"/>
      <c r="G277" s="540"/>
      <c r="H277" s="528"/>
      <c r="I277" s="529"/>
    </row>
    <row r="278" s="476" customFormat="true" ht="9.75" hidden="false" customHeight="true" outlineLevel="0" collapsed="false">
      <c r="E278" s="537"/>
      <c r="F278" s="537"/>
      <c r="G278" s="538"/>
      <c r="H278" s="477"/>
      <c r="I278" s="533"/>
    </row>
    <row r="279" s="476" customFormat="true" ht="9.75" hidden="false" customHeight="true" outlineLevel="0" collapsed="false">
      <c r="E279" s="537"/>
      <c r="F279" s="537"/>
      <c r="G279" s="538"/>
      <c r="H279" s="477"/>
    </row>
    <row r="280" s="476" customFormat="true" ht="9.75" hidden="false" customHeight="true" outlineLevel="0" collapsed="false">
      <c r="E280" s="537"/>
      <c r="F280" s="537"/>
      <c r="G280" s="538"/>
      <c r="H280" s="477"/>
    </row>
    <row r="281" s="476" customFormat="true" ht="9.75" hidden="false" customHeight="true" outlineLevel="0" collapsed="false">
      <c r="E281" s="537"/>
      <c r="F281" s="537"/>
      <c r="G281" s="538"/>
      <c r="H281" s="477"/>
    </row>
    <row r="282" s="476" customFormat="true" ht="9.75" hidden="false" customHeight="true" outlineLevel="0" collapsed="false">
      <c r="E282" s="537"/>
      <c r="F282" s="537"/>
      <c r="G282" s="538"/>
      <c r="H282" s="477"/>
    </row>
    <row r="283" s="476" customFormat="true" ht="9.75" hidden="false" customHeight="true" outlineLevel="0" collapsed="false">
      <c r="E283" s="537"/>
      <c r="F283" s="537"/>
      <c r="G283" s="538"/>
      <c r="H283" s="477"/>
    </row>
    <row r="284" s="476" customFormat="true" ht="9.75" hidden="false" customHeight="true" outlineLevel="0" collapsed="false">
      <c r="E284" s="537"/>
      <c r="F284" s="537"/>
      <c r="G284" s="538"/>
      <c r="H284" s="477"/>
    </row>
    <row r="285" s="476" customFormat="true" ht="9.75" hidden="false" customHeight="true" outlineLevel="0" collapsed="false">
      <c r="E285" s="537"/>
      <c r="F285" s="537"/>
      <c r="G285" s="538"/>
      <c r="H285" s="477"/>
    </row>
    <row r="286" s="476" customFormat="true" ht="9.75" hidden="false" customHeight="true" outlineLevel="0" collapsed="false">
      <c r="E286" s="537"/>
      <c r="F286" s="537"/>
      <c r="G286" s="538"/>
      <c r="H286" s="477"/>
    </row>
    <row r="287" s="476" customFormat="true" ht="9.75" hidden="false" customHeight="true" outlineLevel="0" collapsed="false">
      <c r="E287" s="537"/>
      <c r="F287" s="537"/>
      <c r="G287" s="538"/>
      <c r="H287" s="477"/>
    </row>
    <row r="288" s="476" customFormat="true" ht="9.75" hidden="false" customHeight="true" outlineLevel="0" collapsed="false">
      <c r="E288" s="537"/>
      <c r="F288" s="537"/>
      <c r="G288" s="538"/>
      <c r="H288" s="477"/>
    </row>
    <row r="289" s="476" customFormat="true" ht="9.75" hidden="false" customHeight="true" outlineLevel="0" collapsed="false">
      <c r="E289" s="537"/>
      <c r="F289" s="537"/>
      <c r="G289" s="538"/>
      <c r="H289" s="477"/>
    </row>
    <row r="290" s="476" customFormat="true" ht="9.75" hidden="false" customHeight="true" outlineLevel="0" collapsed="false">
      <c r="E290" s="537"/>
      <c r="F290" s="537"/>
      <c r="G290" s="538"/>
      <c r="H290" s="477"/>
    </row>
    <row r="291" s="476" customFormat="true" ht="9.75" hidden="false" customHeight="true" outlineLevel="0" collapsed="false">
      <c r="E291" s="537"/>
      <c r="F291" s="537"/>
      <c r="G291" s="538"/>
      <c r="H291" s="477"/>
    </row>
    <row r="292" s="476" customFormat="true" ht="9.75" hidden="false" customHeight="true" outlineLevel="0" collapsed="false">
      <c r="E292" s="537"/>
      <c r="F292" s="537"/>
      <c r="G292" s="538"/>
      <c r="H292" s="477"/>
    </row>
    <row r="293" s="476" customFormat="true" ht="9.75" hidden="false" customHeight="true" outlineLevel="0" collapsed="false">
      <c r="E293" s="541"/>
      <c r="F293" s="541"/>
      <c r="G293" s="542"/>
      <c r="H293" s="477"/>
    </row>
  </sheetData>
  <sheetProtection algorithmName="SHA-512" hashValue="gq/fgxHBALLRV/7RZreZoAnL8uqbor+DRLH2l59rM6imZ0Lntlp9gT8JJ3SOExtdlOWmLZWfSEZyo8X9tpfOUA==" saltValue="nVYCSfCn/c2mznDhLHcPqw==" spinCount="100000" sheet="true" selectLockedCells="true" selectUnlockedCells="true"/>
  <mergeCells count="6">
    <mergeCell ref="A1:G1"/>
    <mergeCell ref="L2:N2"/>
    <mergeCell ref="O2:Q2"/>
    <mergeCell ref="B3:B8"/>
    <mergeCell ref="G3:G8"/>
    <mergeCell ref="J8:M8"/>
  </mergeCells>
  <hyperlinks>
    <hyperlink ref="E19" r:id="rId1" display="http://data.worldbank.org/indicator/NY.GDP.MKTP.PP.CD"/>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L27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2" ySplit="2" topLeftCell="C186" activePane="bottomRight" state="frozen"/>
      <selection pane="topLeft" activeCell="A1" activeCellId="0" sqref="A1"/>
      <selection pane="topRight" activeCell="C1" activeCellId="0" sqref="C1"/>
      <selection pane="bottomLeft" activeCell="A186" activeCellId="0" sqref="A186"/>
      <selection pane="bottomRight" activeCell="F204" activeCellId="0" sqref="F204"/>
    </sheetView>
  </sheetViews>
  <sheetFormatPr defaultColWidth="10.3984375" defaultRowHeight="15" zeroHeight="false" outlineLevelRow="0" outlineLevelCol="0"/>
  <cols>
    <col collapsed="false" customWidth="true" hidden="false" outlineLevel="0" max="1" min="1" style="0" width="6.15"/>
    <col collapsed="false" customWidth="true" hidden="false" outlineLevel="0" max="2" min="2" style="0" width="5.86"/>
    <col collapsed="false" customWidth="true" hidden="false" outlineLevel="0" max="3" min="3" style="0" width="37.57"/>
    <col collapsed="false" customWidth="true" hidden="false" outlineLevel="0" max="4" min="4" style="543" width="11.71"/>
    <col collapsed="false" customWidth="true" hidden="false" outlineLevel="0" max="5" min="5" style="543" width="18"/>
    <col collapsed="false" customWidth="true" hidden="false" outlineLevel="0" max="6" min="6" style="543" width="17.58"/>
    <col collapsed="false" customWidth="true" hidden="false" outlineLevel="0" max="7" min="7" style="0" width="14.7"/>
  </cols>
  <sheetData>
    <row r="2" s="544" customFormat="true" ht="55.5" hidden="false" customHeight="true" outlineLevel="0" collapsed="false">
      <c r="C2" s="544" t="s">
        <v>251</v>
      </c>
      <c r="D2" s="545" t="s">
        <v>699</v>
      </c>
      <c r="E2" s="545" t="s">
        <v>700</v>
      </c>
      <c r="F2" s="545" t="s">
        <v>701</v>
      </c>
      <c r="G2" s="545" t="s">
        <v>702</v>
      </c>
      <c r="H2" s="545" t="s">
        <v>122</v>
      </c>
      <c r="J2" s="544" t="s">
        <v>257</v>
      </c>
      <c r="K2" s="544" t="s">
        <v>703</v>
      </c>
    </row>
    <row r="3" customFormat="false" ht="15" hidden="false" customHeight="false" outlineLevel="0" collapsed="false">
      <c r="C3" s="546" t="s">
        <v>615</v>
      </c>
      <c r="D3" s="543" t="n">
        <v>1.12949</v>
      </c>
      <c r="F3" s="543" t="n">
        <v>12463.5635198013</v>
      </c>
      <c r="G3" s="547" t="n">
        <f aca="false">D3*E3/F3</f>
        <v>0</v>
      </c>
      <c r="H3" s="0" t="str">
        <f aca="false">VLOOKUP(C3,'11.Region'!$B$22:$E$243,4,FALSE())</f>
        <v>Africa</v>
      </c>
      <c r="I3" s="548" t="n">
        <f aca="false">$K$3</f>
        <v>3.03256163278312</v>
      </c>
      <c r="J3" s="0" t="s">
        <v>257</v>
      </c>
      <c r="K3" s="549" t="n">
        <f aca="false">AVERAGE(G5:G51)</f>
        <v>3.03256163278312</v>
      </c>
      <c r="L3" s="550" t="s">
        <v>263</v>
      </c>
    </row>
    <row r="4" customFormat="false" ht="15" hidden="false" customHeight="false" outlineLevel="0" collapsed="false">
      <c r="C4" s="546" t="s">
        <v>691</v>
      </c>
      <c r="D4" s="543" t="n">
        <v>1.12949</v>
      </c>
      <c r="F4" s="543" t="n">
        <v>0.51762968529526</v>
      </c>
      <c r="G4" s="547" t="n">
        <f aca="false">D4*E4/F4</f>
        <v>0</v>
      </c>
      <c r="H4" s="0" t="str">
        <f aca="false">VLOOKUP(C4,'11.Region'!$B$22:$E$243,4,FALSE())</f>
        <v>Africa</v>
      </c>
      <c r="I4" s="548" t="n">
        <f aca="false">$K$3</f>
        <v>3.03256163278312</v>
      </c>
      <c r="J4" s="0" t="s">
        <v>257</v>
      </c>
    </row>
    <row r="5" customFormat="false" ht="15" hidden="false" customHeight="false" outlineLevel="0" collapsed="false">
      <c r="C5" s="546" t="s">
        <v>262</v>
      </c>
      <c r="D5" s="543" t="n">
        <v>1.12949</v>
      </c>
      <c r="E5" s="543" t="n">
        <v>165.09042</v>
      </c>
      <c r="F5" s="543" t="n">
        <v>108.299425238122</v>
      </c>
      <c r="G5" s="547" t="n">
        <f aca="false">D5*E5/F5</f>
        <v>1.72178179224687</v>
      </c>
      <c r="H5" s="0" t="str">
        <f aca="false">VLOOKUP(C5,'11.Region'!$B$22:$E$243,4,FALSE())</f>
        <v>Africa</v>
      </c>
      <c r="I5" s="548" t="n">
        <f aca="false">G5</f>
        <v>1.72178179224687</v>
      </c>
    </row>
    <row r="6" customFormat="false" ht="15" hidden="false" customHeight="false" outlineLevel="0" collapsed="false">
      <c r="C6" s="546" t="s">
        <v>595</v>
      </c>
      <c r="D6" s="543" t="n">
        <v>1.12949</v>
      </c>
      <c r="E6" s="543" t="n">
        <v>6.60668</v>
      </c>
      <c r="F6" s="543" t="n">
        <v>4.13776545849889</v>
      </c>
      <c r="G6" s="547" t="n">
        <f aca="false">D6*E6/F6</f>
        <v>1.80343208624182</v>
      </c>
      <c r="H6" s="0" t="str">
        <f aca="false">VLOOKUP(C6,'11.Region'!$B$22:$E$243,4,FALSE())</f>
        <v>Africa</v>
      </c>
      <c r="I6" s="548" t="n">
        <f aca="false">G6</f>
        <v>1.80343208624182</v>
      </c>
    </row>
    <row r="7" customFormat="false" ht="15" hidden="false" customHeight="false" outlineLevel="0" collapsed="false">
      <c r="C7" s="546" t="s">
        <v>323</v>
      </c>
      <c r="D7" s="543" t="n">
        <v>1.12949</v>
      </c>
      <c r="E7" s="543" t="n">
        <v>581.90317</v>
      </c>
      <c r="F7" s="543" t="n">
        <v>335.500361622859</v>
      </c>
      <c r="G7" s="547" t="n">
        <f aca="false">D7*E7/F7</f>
        <v>1.95902564248837</v>
      </c>
      <c r="H7" s="0" t="str">
        <f aca="false">VLOOKUP(C7,'11.Region'!$B$22:$E$243,4,FALSE())</f>
        <v>Africa</v>
      </c>
      <c r="I7" s="548" t="n">
        <f aca="false">G7</f>
        <v>1.95902564248837</v>
      </c>
    </row>
    <row r="8" customFormat="false" ht="15" hidden="false" customHeight="false" outlineLevel="0" collapsed="false">
      <c r="C8" s="546" t="s">
        <v>629</v>
      </c>
      <c r="D8" s="543" t="n">
        <v>1.12949</v>
      </c>
      <c r="E8" s="543" t="n">
        <v>12.72334</v>
      </c>
      <c r="F8" s="543" t="n">
        <v>7.30586505705509</v>
      </c>
      <c r="G8" s="547" t="n">
        <f aca="false">D8*E8/F8</f>
        <v>1.96703404516381</v>
      </c>
      <c r="H8" s="0" t="str">
        <f aca="false">VLOOKUP(C8,'11.Region'!$B$22:$E$243,4,FALSE())</f>
        <v>Africa</v>
      </c>
      <c r="I8" s="548" t="n">
        <f aca="false">G8</f>
        <v>1.96703404516381</v>
      </c>
    </row>
    <row r="9" customFormat="false" ht="15" hidden="false" customHeight="false" outlineLevel="0" collapsed="false">
      <c r="C9" s="546" t="s">
        <v>337</v>
      </c>
      <c r="D9" s="543" t="n">
        <v>1.12949</v>
      </c>
      <c r="E9" s="543" t="n">
        <v>1440.44336</v>
      </c>
      <c r="F9" s="543" t="n">
        <v>763.855751739276</v>
      </c>
      <c r="G9" s="547" t="n">
        <f aca="false">D9*E9/F9</f>
        <v>2.12993928105123</v>
      </c>
      <c r="H9" s="0" t="str">
        <f aca="false">VLOOKUP(C9,'11.Region'!$B$22:$E$243,4,FALSE())</f>
        <v>Africa</v>
      </c>
      <c r="I9" s="548" t="n">
        <f aca="false">G9</f>
        <v>2.12993928105123</v>
      </c>
    </row>
    <row r="10" customFormat="false" ht="15" hidden="false" customHeight="false" outlineLevel="0" collapsed="false">
      <c r="C10" s="546" t="s">
        <v>343</v>
      </c>
      <c r="D10" s="543" t="n">
        <v>1.12949</v>
      </c>
      <c r="E10" s="543" t="n">
        <v>436.44655</v>
      </c>
      <c r="F10" s="543" t="n">
        <v>224.237692431855</v>
      </c>
      <c r="G10" s="547" t="n">
        <f aca="false">D10*E10/F10</f>
        <v>2.1983905043498</v>
      </c>
      <c r="H10" s="0" t="str">
        <f aca="false">VLOOKUP(C10,'11.Region'!$B$22:$E$243,4,FALSE())</f>
        <v>Africa</v>
      </c>
      <c r="I10" s="548" t="n">
        <f aca="false">G10</f>
        <v>2.1983905043498</v>
      </c>
    </row>
    <row r="11" customFormat="false" ht="15" hidden="false" customHeight="false" outlineLevel="0" collapsed="false">
      <c r="C11" s="546" t="s">
        <v>537</v>
      </c>
      <c r="D11" s="543" t="n">
        <v>1.12949</v>
      </c>
      <c r="E11" s="543" t="n">
        <v>13.2992</v>
      </c>
      <c r="F11" s="543" t="n">
        <v>6.64300479615375</v>
      </c>
      <c r="G11" s="547" t="n">
        <f aca="false">D11*E11/F11</f>
        <v>2.26122272509832</v>
      </c>
      <c r="H11" s="0" t="str">
        <f aca="false">VLOOKUP(C11,'11.Region'!$B$22:$E$243,4,FALSE())</f>
        <v>Africa</v>
      </c>
      <c r="I11" s="548" t="n">
        <f aca="false">G11</f>
        <v>2.26122272509832</v>
      </c>
    </row>
    <row r="12" customFormat="false" ht="15" hidden="false" customHeight="false" outlineLevel="0" collapsed="false">
      <c r="C12" s="546" t="s">
        <v>531</v>
      </c>
      <c r="D12" s="543" t="n">
        <v>1.12949</v>
      </c>
      <c r="E12" s="543" t="n">
        <v>33.25729</v>
      </c>
      <c r="F12" s="543" t="n">
        <v>16.3243952541092</v>
      </c>
      <c r="G12" s="547" t="n">
        <f aca="false">D12*E12/F12</f>
        <v>2.30108226965678</v>
      </c>
      <c r="H12" s="0" t="str">
        <f aca="false">VLOOKUP(C12,'11.Region'!$B$22:$E$243,4,FALSE())</f>
        <v>Africa</v>
      </c>
      <c r="I12" s="548" t="n">
        <f aca="false">G12</f>
        <v>2.30108226965678</v>
      </c>
    </row>
    <row r="13" customFormat="false" ht="15" hidden="false" customHeight="false" outlineLevel="0" collapsed="false">
      <c r="C13" s="546" t="s">
        <v>345</v>
      </c>
      <c r="D13" s="543" t="n">
        <v>1.12949</v>
      </c>
      <c r="E13" s="543" t="n">
        <v>97.81675</v>
      </c>
      <c r="F13" s="543" t="n">
        <v>45.992605173421</v>
      </c>
      <c r="G13" s="547" t="n">
        <f aca="false">D13*E13/F13</f>
        <v>2.40219140752974</v>
      </c>
      <c r="H13" s="0" t="str">
        <f aca="false">VLOOKUP(C13,'11.Region'!$B$22:$E$243,4,FALSE())</f>
        <v>Africa</v>
      </c>
      <c r="I13" s="548" t="n">
        <f aca="false">G13</f>
        <v>2.40219140752974</v>
      </c>
    </row>
    <row r="14" customFormat="false" ht="15" hidden="false" customHeight="false" outlineLevel="0" collapsed="false">
      <c r="C14" s="546" t="s">
        <v>459</v>
      </c>
      <c r="D14" s="543" t="n">
        <v>1.12949</v>
      </c>
      <c r="E14" s="543" t="n">
        <v>101.76897</v>
      </c>
      <c r="F14" s="543" t="n">
        <v>47.4524477845985</v>
      </c>
      <c r="G14" s="547" t="n">
        <f aca="false">D14*E14/F14</f>
        <v>2.42236258173826</v>
      </c>
      <c r="H14" s="0" t="str">
        <f aca="false">VLOOKUP(C14,'11.Region'!$B$22:$E$243,4,FALSE())</f>
        <v>Africa</v>
      </c>
      <c r="I14" s="548" t="n">
        <f aca="false">G14</f>
        <v>2.42236258173826</v>
      </c>
    </row>
    <row r="15" customFormat="false" ht="15" hidden="false" customHeight="false" outlineLevel="0" collapsed="false">
      <c r="C15" s="546" t="s">
        <v>687</v>
      </c>
      <c r="D15" s="543" t="n">
        <v>1.12949</v>
      </c>
      <c r="E15" s="543" t="n">
        <v>13.2992</v>
      </c>
      <c r="F15" s="543" t="n">
        <v>6.0762570281131</v>
      </c>
      <c r="G15" s="547" t="n">
        <f aca="false">D15*E15/F15</f>
        <v>2.47213265312851</v>
      </c>
      <c r="H15" s="0" t="str">
        <f aca="false">VLOOKUP(C15,'11.Region'!$B$22:$E$243,4,FALSE())</f>
        <v>Africa</v>
      </c>
      <c r="I15" s="548" t="n">
        <f aca="false">G15</f>
        <v>2.47213265312851</v>
      </c>
    </row>
    <row r="16" customFormat="false" ht="15" hidden="false" customHeight="false" outlineLevel="0" collapsed="false">
      <c r="C16" s="546" t="s">
        <v>321</v>
      </c>
      <c r="D16" s="543" t="n">
        <v>1.12949</v>
      </c>
      <c r="E16" s="543" t="n">
        <v>10.22584</v>
      </c>
      <c r="F16" s="543" t="n">
        <v>4.52886496554253</v>
      </c>
      <c r="G16" s="547" t="n">
        <f aca="false">D16*E16/F16</f>
        <v>2.55030434987067</v>
      </c>
      <c r="H16" s="0" t="str">
        <f aca="false">VLOOKUP(C16,'11.Region'!$B$22:$E$243,4,FALSE())</f>
        <v>Africa</v>
      </c>
      <c r="I16" s="548" t="n">
        <f aca="false">G16</f>
        <v>2.55030434987067</v>
      </c>
    </row>
    <row r="17" customFormat="false" ht="15" hidden="false" customHeight="false" outlineLevel="0" collapsed="false">
      <c r="C17" s="546" t="s">
        <v>407</v>
      </c>
      <c r="D17" s="543" t="n">
        <v>1.12949</v>
      </c>
      <c r="E17" s="543" t="n">
        <v>581.57419</v>
      </c>
      <c r="F17" s="543" t="n">
        <v>247.754889036848</v>
      </c>
      <c r="G17" s="547" t="n">
        <f aca="false">D17*E17/F17</f>
        <v>2.65133912964036</v>
      </c>
      <c r="H17" s="0" t="str">
        <f aca="false">VLOOKUP(C17,'11.Region'!$B$22:$E$243,4,FALSE())</f>
        <v>Africa</v>
      </c>
      <c r="I17" s="548" t="n">
        <f aca="false">G17</f>
        <v>2.65133912964036</v>
      </c>
    </row>
    <row r="18" customFormat="false" ht="15" hidden="false" customHeight="false" outlineLevel="0" collapsed="false">
      <c r="C18" s="546" t="s">
        <v>287</v>
      </c>
      <c r="D18" s="543" t="n">
        <v>1.12949</v>
      </c>
      <c r="E18" s="543" t="n">
        <v>1699.34338</v>
      </c>
      <c r="F18" s="543" t="n">
        <v>717.88571949917</v>
      </c>
      <c r="G18" s="547" t="n">
        <f aca="false">D18*E18/F18</f>
        <v>2.67367256673563</v>
      </c>
      <c r="H18" s="0" t="str">
        <f aca="false">VLOOKUP(C18,'11.Region'!$B$22:$E$243,4,FALSE())</f>
        <v>Africa</v>
      </c>
      <c r="I18" s="548" t="n">
        <f aca="false">G18</f>
        <v>2.67367256673563</v>
      </c>
    </row>
    <row r="19" customFormat="false" ht="15" hidden="false" customHeight="false" outlineLevel="0" collapsed="false">
      <c r="C19" s="546" t="s">
        <v>333</v>
      </c>
      <c r="D19" s="543" t="n">
        <v>1.12949</v>
      </c>
      <c r="E19" s="543" t="n">
        <v>581.57419</v>
      </c>
      <c r="F19" s="543" t="n">
        <v>244.777496307491</v>
      </c>
      <c r="G19" s="547" t="n">
        <f aca="false">D19*E19/F19</f>
        <v>2.68358914431382</v>
      </c>
      <c r="H19" s="0" t="str">
        <f aca="false">VLOOKUP(C19,'11.Region'!$B$22:$E$243,4,FALSE())</f>
        <v>Africa</v>
      </c>
      <c r="I19" s="548" t="n">
        <f aca="false">G19</f>
        <v>2.68358914431382</v>
      </c>
    </row>
    <row r="20" customFormat="false" ht="15" hidden="false" customHeight="false" outlineLevel="0" collapsed="false">
      <c r="C20" s="546" t="s">
        <v>479</v>
      </c>
      <c r="D20" s="543" t="n">
        <v>1.12949</v>
      </c>
      <c r="E20" s="543" t="n">
        <v>1.3707</v>
      </c>
      <c r="F20" s="543" t="n">
        <v>0.564428715470327</v>
      </c>
      <c r="G20" s="547" t="n">
        <f aca="false">D20*E20/F20</f>
        <v>2.74293617699787</v>
      </c>
      <c r="H20" s="0" t="str">
        <f aca="false">VLOOKUP(C20,'11.Region'!$B$22:$E$243,4,FALSE())</f>
        <v>Africa</v>
      </c>
      <c r="I20" s="548" t="n">
        <f aca="false">G20</f>
        <v>2.74293617699787</v>
      </c>
    </row>
    <row r="21" customFormat="false" ht="15" hidden="false" customHeight="false" outlineLevel="0" collapsed="false">
      <c r="C21" s="546" t="s">
        <v>393</v>
      </c>
      <c r="D21" s="543" t="n">
        <v>1.12949</v>
      </c>
      <c r="E21" s="543" t="n">
        <v>581.90317</v>
      </c>
      <c r="F21" s="543" t="n">
        <v>231.155170200789</v>
      </c>
      <c r="G21" s="547" t="n">
        <f aca="false">D21*E21/F21</f>
        <v>2.84334462825291</v>
      </c>
      <c r="H21" s="0" t="str">
        <f aca="false">VLOOKUP(C21,'11.Region'!$B$22:$E$243,4,FALSE())</f>
        <v>Africa</v>
      </c>
      <c r="I21" s="548" t="n">
        <f aca="false">G21</f>
        <v>2.84334462825291</v>
      </c>
    </row>
    <row r="22" customFormat="false" ht="15" hidden="false" customHeight="false" outlineLevel="0" collapsed="false">
      <c r="C22" s="546" t="s">
        <v>409</v>
      </c>
      <c r="D22" s="543" t="n">
        <v>1.12949</v>
      </c>
      <c r="E22" s="543" t="n">
        <v>581.90317</v>
      </c>
      <c r="F22" s="543" t="n">
        <v>231.038017628135</v>
      </c>
      <c r="G22" s="547" t="n">
        <f aca="false">D22*E22/F22</f>
        <v>2.84478640455259</v>
      </c>
      <c r="H22" s="0" t="str">
        <f aca="false">VLOOKUP(C22,'11.Region'!$B$22:$E$243,4,FALSE())</f>
        <v>Africa</v>
      </c>
      <c r="I22" s="548" t="n">
        <f aca="false">G22</f>
        <v>2.84478640455259</v>
      </c>
    </row>
    <row r="23" customFormat="false" ht="15" hidden="false" customHeight="false" outlineLevel="0" collapsed="false">
      <c r="C23" s="546" t="s">
        <v>637</v>
      </c>
      <c r="D23" s="543" t="n">
        <v>1.12949</v>
      </c>
      <c r="E23" s="543" t="n">
        <v>581.57419</v>
      </c>
      <c r="F23" s="543" t="n">
        <v>228.864685269555</v>
      </c>
      <c r="G23" s="547" t="n">
        <f aca="false">D23*E23/F23</f>
        <v>2.870177332468</v>
      </c>
      <c r="H23" s="0" t="str">
        <f aca="false">VLOOKUP(C23,'11.Region'!$B$22:$E$243,4,FALSE())</f>
        <v>Africa</v>
      </c>
      <c r="I23" s="548" t="n">
        <f aca="false">G23</f>
        <v>2.870177332468</v>
      </c>
    </row>
    <row r="24" customFormat="false" ht="15" hidden="false" customHeight="false" outlineLevel="0" collapsed="false">
      <c r="C24" s="546" t="s">
        <v>335</v>
      </c>
      <c r="D24" s="543" t="n">
        <v>1.12949</v>
      </c>
      <c r="E24" s="543" t="n">
        <v>581.90317</v>
      </c>
      <c r="F24" s="543" t="n">
        <v>227.956784579026</v>
      </c>
      <c r="G24" s="547" t="n">
        <f aca="false">D24*E24/F24</f>
        <v>2.883238648488</v>
      </c>
      <c r="H24" s="0" t="str">
        <f aca="false">VLOOKUP(C24,'11.Region'!$B$22:$E$243,4,FALSE())</f>
        <v>Africa</v>
      </c>
      <c r="I24" s="548" t="n">
        <f aca="false">G24</f>
        <v>2.883238648488</v>
      </c>
    </row>
    <row r="25" customFormat="false" ht="15" hidden="false" customHeight="false" outlineLevel="0" collapsed="false">
      <c r="C25" s="546" t="s">
        <v>381</v>
      </c>
      <c r="D25" s="543" t="n">
        <v>1.12949</v>
      </c>
      <c r="E25" s="543" t="n">
        <v>23.72109</v>
      </c>
      <c r="F25" s="543" t="n">
        <v>9.06336952150157</v>
      </c>
      <c r="G25" s="547" t="n">
        <f aca="false">D25*E25/F25</f>
        <v>2.95615597273597</v>
      </c>
      <c r="H25" s="0" t="str">
        <f aca="false">VLOOKUP(C25,'11.Region'!$B$22:$E$243,4,FALSE())</f>
        <v>Africa</v>
      </c>
      <c r="I25" s="548" t="n">
        <f aca="false">G25</f>
        <v>2.95615597273597</v>
      </c>
    </row>
    <row r="26" customFormat="false" ht="15" hidden="false" customHeight="false" outlineLevel="0" collapsed="false">
      <c r="C26" s="546" t="s">
        <v>597</v>
      </c>
      <c r="D26" s="543" t="n">
        <v>1.12949</v>
      </c>
      <c r="E26" s="543" t="n">
        <v>581.57419</v>
      </c>
      <c r="F26" s="543" t="n">
        <v>221.707078638369</v>
      </c>
      <c r="G26" s="547" t="n">
        <f aca="false">D26*E26/F26</f>
        <v>2.96283833559755</v>
      </c>
      <c r="H26" s="0" t="str">
        <f aca="false">VLOOKUP(C26,'11.Region'!$B$22:$E$243,4,FALSE())</f>
        <v>Africa</v>
      </c>
      <c r="I26" s="548" t="n">
        <f aca="false">G26</f>
        <v>2.96283833559755</v>
      </c>
    </row>
    <row r="27" customFormat="false" ht="15" hidden="false" customHeight="false" outlineLevel="0" collapsed="false">
      <c r="C27" s="546" t="s">
        <v>625</v>
      </c>
      <c r="D27" s="543" t="n">
        <v>1.12949</v>
      </c>
      <c r="E27" s="543" t="n">
        <v>13.2992</v>
      </c>
      <c r="F27" s="543" t="n">
        <v>5.06026211181042</v>
      </c>
      <c r="G27" s="547" t="n">
        <f aca="false">D27*E27/F27</f>
        <v>2.9684852436677</v>
      </c>
      <c r="H27" s="0" t="str">
        <f aca="false">VLOOKUP(C27,'11.Region'!$B$22:$E$243,4,FALSE())</f>
        <v>Africa</v>
      </c>
      <c r="I27" s="548" t="n">
        <f aca="false">G27</f>
        <v>2.9684852436677</v>
      </c>
    </row>
    <row r="28" customFormat="false" ht="15" hidden="false" customHeight="false" outlineLevel="0" collapsed="false">
      <c r="C28" s="546" t="s">
        <v>487</v>
      </c>
      <c r="D28" s="543" t="n">
        <v>1.12949</v>
      </c>
      <c r="E28" s="543" t="n">
        <v>13.2992</v>
      </c>
      <c r="F28" s="543" t="n">
        <v>5.03426740721094</v>
      </c>
      <c r="G28" s="547" t="n">
        <f aca="false">D28*E28/F28</f>
        <v>2.98381317338922</v>
      </c>
      <c r="H28" s="0" t="str">
        <f aca="false">VLOOKUP(C28,'11.Region'!$B$22:$E$243,4,FALSE())</f>
        <v>Africa</v>
      </c>
      <c r="I28" s="548" t="n">
        <f aca="false">G28</f>
        <v>2.98381317338922</v>
      </c>
    </row>
    <row r="29" customFormat="false" ht="15" hidden="false" customHeight="false" outlineLevel="0" collapsed="false">
      <c r="C29" s="546" t="s">
        <v>403</v>
      </c>
      <c r="D29" s="543" t="n">
        <v>1.12949</v>
      </c>
      <c r="E29" s="543" t="n">
        <v>9041.48481</v>
      </c>
      <c r="F29" s="543" t="n">
        <v>3386.11756067565</v>
      </c>
      <c r="G29" s="547" t="n">
        <f aca="false">D29*E29/F29</f>
        <v>3.01592206857968</v>
      </c>
      <c r="H29" s="0" t="str">
        <f aca="false">VLOOKUP(C29,'11.Region'!$B$22:$E$243,4,FALSE())</f>
        <v>Africa</v>
      </c>
      <c r="I29" s="548" t="n">
        <f aca="false">G29</f>
        <v>3.01592206857968</v>
      </c>
    </row>
    <row r="30" customFormat="false" ht="15" hidden="false" customHeight="false" outlineLevel="0" collapsed="false">
      <c r="C30" s="546" t="s">
        <v>689</v>
      </c>
      <c r="D30" s="543" t="n">
        <v>1.12949</v>
      </c>
      <c r="E30" s="543" t="n">
        <v>9.49354</v>
      </c>
      <c r="F30" s="543" t="n">
        <v>3.5485394978903</v>
      </c>
      <c r="G30" s="547" t="n">
        <f aca="false">D30*E30/F30</f>
        <v>3.02176670175857</v>
      </c>
      <c r="H30" s="0" t="str">
        <f aca="false">VLOOKUP(C30,'11.Region'!$B$22:$E$243,4,FALSE())</f>
        <v>Africa</v>
      </c>
      <c r="I30" s="548" t="n">
        <f aca="false">G30</f>
        <v>3.02176670175857</v>
      </c>
    </row>
    <row r="31" customFormat="false" ht="15" hidden="false" customHeight="false" outlineLevel="0" collapsed="false">
      <c r="C31" s="546" t="s">
        <v>515</v>
      </c>
      <c r="D31" s="543" t="n">
        <v>1.12949</v>
      </c>
      <c r="E31" s="543" t="n">
        <v>581.57419</v>
      </c>
      <c r="F31" s="543" t="n">
        <v>217.03135676953</v>
      </c>
      <c r="G31" s="547" t="n">
        <f aca="false">D31*E31/F31</f>
        <v>3.02666970174571</v>
      </c>
      <c r="H31" s="0" t="str">
        <f aca="false">VLOOKUP(C31,'11.Region'!$B$22:$E$243,4,FALSE())</f>
        <v>Africa</v>
      </c>
      <c r="I31" s="548" t="n">
        <f aca="false">G31</f>
        <v>3.02666970174571</v>
      </c>
    </row>
    <row r="32" customFormat="false" ht="15" hidden="false" customHeight="false" outlineLevel="0" collapsed="false">
      <c r="C32" s="546" t="s">
        <v>541</v>
      </c>
      <c r="D32" s="543" t="n">
        <v>1.12949</v>
      </c>
      <c r="E32" s="543" t="n">
        <v>581.57419</v>
      </c>
      <c r="F32" s="543" t="n">
        <v>216.470484936777</v>
      </c>
      <c r="G32" s="547" t="n">
        <f aca="false">D32*E32/F32</f>
        <v>3.03451175828867</v>
      </c>
      <c r="H32" s="0" t="str">
        <f aca="false">VLOOKUP(C32,'11.Region'!$B$22:$E$243,4,FALSE())</f>
        <v>Africa</v>
      </c>
      <c r="I32" s="548" t="n">
        <f aca="false">G32</f>
        <v>3.03451175828867</v>
      </c>
    </row>
    <row r="33" customFormat="false" ht="15" hidden="false" customHeight="false" outlineLevel="0" collapsed="false">
      <c r="C33" s="546" t="s">
        <v>591</v>
      </c>
      <c r="D33" s="543" t="n">
        <v>1.12949</v>
      </c>
      <c r="E33" s="543" t="n">
        <v>823.42092</v>
      </c>
      <c r="F33" s="543" t="n">
        <v>305.706078126625</v>
      </c>
      <c r="G33" s="547" t="n">
        <f aca="false">D33*E33/F33</f>
        <v>3.04228722120981</v>
      </c>
      <c r="H33" s="0" t="str">
        <f aca="false">VLOOKUP(C33,'11.Region'!$B$22:$E$243,4,FALSE())</f>
        <v>Africa</v>
      </c>
      <c r="I33" s="548" t="n">
        <f aca="false">G33</f>
        <v>3.04228722120981</v>
      </c>
    </row>
    <row r="34" customFormat="false" ht="15" hidden="false" customHeight="false" outlineLevel="0" collapsed="false">
      <c r="C34" s="546" t="s">
        <v>499</v>
      </c>
      <c r="D34" s="543" t="n">
        <v>1.12949</v>
      </c>
      <c r="E34" s="543" t="n">
        <v>9.57992</v>
      </c>
      <c r="F34" s="543" t="n">
        <v>3.54686354775819</v>
      </c>
      <c r="G34" s="547" t="n">
        <f aca="false">D34*E34/F34</f>
        <v>3.050702034376</v>
      </c>
      <c r="H34" s="0" t="str">
        <f aca="false">VLOOKUP(C34,'11.Region'!$B$22:$E$243,4,FALSE())</f>
        <v>Africa</v>
      </c>
      <c r="I34" s="548" t="n">
        <f aca="false">G34</f>
        <v>3.050702034376</v>
      </c>
    </row>
    <row r="35" customFormat="false" ht="15" hidden="false" customHeight="false" outlineLevel="0" collapsed="false">
      <c r="C35" s="546" t="s">
        <v>291</v>
      </c>
      <c r="D35" s="543" t="n">
        <v>1.12949</v>
      </c>
      <c r="E35" s="543" t="n">
        <v>581.57419</v>
      </c>
      <c r="F35" s="543" t="n">
        <v>212.700771970014</v>
      </c>
      <c r="G35" s="547" t="n">
        <f aca="false">D35*E35/F35</f>
        <v>3.08829265535391</v>
      </c>
      <c r="H35" s="0" t="str">
        <f aca="false">VLOOKUP(C35,'11.Region'!$B$22:$E$243,4,FALSE())</f>
        <v>Africa</v>
      </c>
      <c r="I35" s="548" t="n">
        <f aca="false">G35</f>
        <v>3.08829265535391</v>
      </c>
    </row>
    <row r="36" customFormat="false" ht="15" hidden="false" customHeight="false" outlineLevel="0" collapsed="false">
      <c r="C36" s="546" t="s">
        <v>293</v>
      </c>
      <c r="D36" s="543" t="n">
        <v>1.12949</v>
      </c>
      <c r="E36" s="543" t="n">
        <v>581.57419</v>
      </c>
      <c r="F36" s="543" t="n">
        <v>208.924006880881</v>
      </c>
      <c r="G36" s="547" t="n">
        <f aca="false">D36*E36/F36</f>
        <v>3.14412039894307</v>
      </c>
      <c r="H36" s="0" t="str">
        <f aca="false">VLOOKUP(C36,'11.Region'!$B$22:$E$243,4,FALSE())</f>
        <v>Africa</v>
      </c>
      <c r="I36" s="548" t="n">
        <f aca="false">G36</f>
        <v>3.14412039894307</v>
      </c>
    </row>
    <row r="37" customFormat="false" ht="15" hidden="false" customHeight="false" outlineLevel="0" collapsed="false">
      <c r="C37" s="546" t="s">
        <v>399</v>
      </c>
      <c r="D37" s="543" t="n">
        <v>1.12949</v>
      </c>
      <c r="E37" s="543" t="n">
        <v>4.379563096</v>
      </c>
      <c r="F37" s="543" t="n">
        <v>1.53866712711638</v>
      </c>
      <c r="G37" s="547" t="n">
        <f aca="false">D37*E37/F37</f>
        <v>3.21490765229489</v>
      </c>
      <c r="H37" s="0" t="str">
        <f aca="false">VLOOKUP(C37,'11.Region'!$B$22:$E$243,4,FALSE())</f>
        <v>Africa</v>
      </c>
      <c r="I37" s="548" t="n">
        <f aca="false">G37</f>
        <v>3.21490765229489</v>
      </c>
    </row>
    <row r="38" customFormat="false" ht="15" hidden="false" customHeight="false" outlineLevel="0" collapsed="false">
      <c r="C38" s="546" t="s">
        <v>635</v>
      </c>
      <c r="D38" s="543" t="n">
        <v>1.12949</v>
      </c>
      <c r="E38" s="543" t="n">
        <v>581.90317</v>
      </c>
      <c r="F38" s="543" t="n">
        <v>200.876869467229</v>
      </c>
      <c r="G38" s="547" t="n">
        <f aca="false">D38*E38/F38</f>
        <v>3.27192380698926</v>
      </c>
      <c r="H38" s="0" t="str">
        <f aca="false">VLOOKUP(C38,'11.Region'!$B$22:$E$243,4,FALSE())</f>
        <v>Africa</v>
      </c>
      <c r="I38" s="548" t="n">
        <f aca="false">G38</f>
        <v>3.27192380698926</v>
      </c>
    </row>
    <row r="39" customFormat="false" ht="15" hidden="false" customHeight="false" outlineLevel="0" collapsed="false">
      <c r="C39" s="546" t="s">
        <v>527</v>
      </c>
      <c r="D39" s="543" t="n">
        <v>1.12949</v>
      </c>
      <c r="E39" s="543" t="n">
        <v>63.95229</v>
      </c>
      <c r="F39" s="543" t="n">
        <v>21.2034188057773</v>
      </c>
      <c r="G39" s="547" t="n">
        <f aca="false">D39*E39/F39</f>
        <v>3.40668986891956</v>
      </c>
      <c r="H39" s="0" t="str">
        <f aca="false">VLOOKUP(C39,'11.Region'!$B$22:$E$243,4,FALSE())</f>
        <v>Africa</v>
      </c>
      <c r="I39" s="548" t="n">
        <f aca="false">G39</f>
        <v>3.40668986891956</v>
      </c>
    </row>
    <row r="40" customFormat="false" ht="15" hidden="false" customHeight="false" outlineLevel="0" collapsed="false">
      <c r="C40" s="546" t="s">
        <v>657</v>
      </c>
      <c r="D40" s="543" t="n">
        <v>1.12949</v>
      </c>
      <c r="E40" s="543" t="n">
        <v>2203.9815</v>
      </c>
      <c r="F40" s="543" t="n">
        <v>708.429875424941</v>
      </c>
      <c r="G40" s="547" t="n">
        <f aca="false">D40*E40/F40</f>
        <v>3.51393292517737</v>
      </c>
      <c r="H40" s="0" t="str">
        <f aca="false">VLOOKUP(C40,'11.Region'!$B$22:$E$243,4,FALSE())</f>
        <v>Africa</v>
      </c>
      <c r="I40" s="548" t="n">
        <f aca="false">G40</f>
        <v>3.51393292517737</v>
      </c>
    </row>
    <row r="41" customFormat="false" ht="15" hidden="false" customHeight="false" outlineLevel="0" collapsed="false">
      <c r="C41" s="546" t="s">
        <v>603</v>
      </c>
      <c r="D41" s="543" t="n">
        <v>1.12949</v>
      </c>
      <c r="E41" s="543" t="n">
        <v>7455.17468</v>
      </c>
      <c r="F41" s="543" t="n">
        <v>2393.50987734811</v>
      </c>
      <c r="G41" s="547" t="n">
        <f aca="false">D41*E41/F41</f>
        <v>3.51807415921038</v>
      </c>
      <c r="H41" s="0" t="str">
        <f aca="false">VLOOKUP(C41,'11.Region'!$B$22:$E$243,4,FALSE())</f>
        <v>Africa</v>
      </c>
      <c r="I41" s="548" t="n">
        <f aca="false">G41</f>
        <v>3.51807415921038</v>
      </c>
    </row>
    <row r="42" customFormat="false" ht="15" hidden="false" customHeight="false" outlineLevel="0" collapsed="false">
      <c r="C42" s="546" t="s">
        <v>659</v>
      </c>
      <c r="D42" s="543" t="n">
        <v>1.12949</v>
      </c>
      <c r="E42" s="543" t="n">
        <v>3572.01577</v>
      </c>
      <c r="F42" s="543" t="n">
        <v>1143.47241450334</v>
      </c>
      <c r="G42" s="547" t="n">
        <f aca="false">D42*E42/F42</f>
        <v>3.52833705552021</v>
      </c>
      <c r="H42" s="0" t="str">
        <f aca="false">VLOOKUP(C42,'11.Region'!$B$22:$E$243,4,FALSE())</f>
        <v>Africa</v>
      </c>
      <c r="I42" s="548" t="n">
        <f aca="false">G42</f>
        <v>3.52833705552021</v>
      </c>
    </row>
    <row r="43" customFormat="false" ht="15" hidden="false" customHeight="false" outlineLevel="0" collapsed="false">
      <c r="C43" s="546" t="s">
        <v>543</v>
      </c>
      <c r="D43" s="543" t="n">
        <v>1.12949</v>
      </c>
      <c r="E43" s="543" t="n">
        <v>331.66749</v>
      </c>
      <c r="F43" s="543" t="n">
        <v>102.709364222796</v>
      </c>
      <c r="G43" s="547" t="n">
        <f aca="false">D43*E43/F43</f>
        <v>3.64733163441153</v>
      </c>
      <c r="H43" s="0" t="str">
        <f aca="false">VLOOKUP(C43,'11.Region'!$B$22:$E$243,4,FALSE())</f>
        <v>Africa</v>
      </c>
      <c r="I43" s="548" t="n">
        <f aca="false">G43</f>
        <v>3.64733163441153</v>
      </c>
    </row>
    <row r="44" customFormat="false" ht="15" hidden="false" customHeight="false" outlineLevel="0" collapsed="false">
      <c r="C44" s="546" t="s">
        <v>339</v>
      </c>
      <c r="D44" s="543" t="n">
        <v>1.12949</v>
      </c>
      <c r="E44" s="543" t="n">
        <v>581.90317</v>
      </c>
      <c r="F44" s="543" t="n">
        <v>180.094206627859</v>
      </c>
      <c r="G44" s="547" t="n">
        <f aca="false">D44*E44/F44</f>
        <v>3.6495000244035</v>
      </c>
      <c r="H44" s="0" t="str">
        <f aca="false">VLOOKUP(C44,'11.Region'!$B$22:$E$243,4,FALSE())</f>
        <v>Africa</v>
      </c>
      <c r="I44" s="548" t="n">
        <f aca="false">G44</f>
        <v>3.6495000244035</v>
      </c>
    </row>
    <row r="45" customFormat="false" ht="15" hidden="false" customHeight="false" outlineLevel="0" collapsed="false">
      <c r="C45" s="546" t="s">
        <v>651</v>
      </c>
      <c r="D45" s="543" t="n">
        <v>1.12949</v>
      </c>
      <c r="E45" s="543" t="n">
        <v>2.39372</v>
      </c>
      <c r="F45" s="543" t="n">
        <v>0.709070923019958</v>
      </c>
      <c r="G45" s="547" t="n">
        <f aca="false">D45*E45/F45</f>
        <v>3.81299347501787</v>
      </c>
      <c r="H45" s="0" t="str">
        <f aca="false">VLOOKUP(C45,'11.Region'!$B$22:$E$243,4,FALSE())</f>
        <v>Africa</v>
      </c>
      <c r="I45" s="548" t="n">
        <f aca="false">G45</f>
        <v>3.81299347501787</v>
      </c>
    </row>
    <row r="46" customFormat="false" ht="15" hidden="false" customHeight="false" outlineLevel="0" collapsed="false">
      <c r="C46" s="546" t="s">
        <v>505</v>
      </c>
      <c r="D46" s="543" t="n">
        <v>1.12949</v>
      </c>
      <c r="E46" s="543" t="n">
        <v>3082.79126</v>
      </c>
      <c r="F46" s="543" t="n">
        <v>901.185877596255</v>
      </c>
      <c r="G46" s="547" t="n">
        <f aca="false">D46*E46/F46</f>
        <v>3.86377770315813</v>
      </c>
      <c r="H46" s="0" t="str">
        <f aca="false">VLOOKUP(C46,'11.Region'!$B$22:$E$243,4,FALSE())</f>
        <v>Africa</v>
      </c>
      <c r="I46" s="548" t="n">
        <f aca="false">G46</f>
        <v>3.86377770315813</v>
      </c>
    </row>
    <row r="47" customFormat="false" ht="15" hidden="false" customHeight="false" outlineLevel="0" collapsed="false">
      <c r="C47" s="546" t="s">
        <v>405</v>
      </c>
      <c r="D47" s="543" t="n">
        <v>1.12949</v>
      </c>
      <c r="E47" s="543" t="n">
        <v>44.95457</v>
      </c>
      <c r="F47" s="543" t="n">
        <v>13.1299270599643</v>
      </c>
      <c r="G47" s="547" t="n">
        <f aca="false">D47*E47/F47</f>
        <v>3.86717588280632</v>
      </c>
      <c r="H47" s="0" t="str">
        <f aca="false">VLOOKUP(C47,'11.Region'!$B$22:$E$243,4,FALSE())</f>
        <v>Africa</v>
      </c>
      <c r="I47" s="548" t="n">
        <f aca="false">G47</f>
        <v>3.86717588280632</v>
      </c>
    </row>
    <row r="48" customFormat="false" ht="15" hidden="false" customHeight="false" outlineLevel="0" collapsed="false">
      <c r="C48" s="546" t="s">
        <v>529</v>
      </c>
      <c r="D48" s="543" t="n">
        <v>1.12949</v>
      </c>
      <c r="E48" s="543" t="n">
        <v>354.70191</v>
      </c>
      <c r="F48" s="543" t="n">
        <v>102.914772361353</v>
      </c>
      <c r="G48" s="547" t="n">
        <f aca="false">D48*E48/F48</f>
        <v>3.89285474896845</v>
      </c>
      <c r="H48" s="0" t="str">
        <f aca="false">VLOOKUP(C48,'11.Region'!$B$22:$E$243,4,FALSE())</f>
        <v>Africa</v>
      </c>
      <c r="I48" s="548" t="n">
        <f aca="false">G48</f>
        <v>3.89285474896845</v>
      </c>
    </row>
    <row r="49" customFormat="false" ht="15" hidden="false" customHeight="false" outlineLevel="0" collapsed="false">
      <c r="C49" s="546" t="s">
        <v>533</v>
      </c>
      <c r="D49" s="543" t="n">
        <v>1.12949</v>
      </c>
      <c r="E49" s="543" t="n">
        <v>718.93711</v>
      </c>
      <c r="F49" s="543" t="n">
        <v>205.611763569026</v>
      </c>
      <c r="G49" s="547" t="n">
        <f aca="false">D49*E49/F49</f>
        <v>3.94934736358746</v>
      </c>
      <c r="H49" s="0" t="str">
        <f aca="false">VLOOKUP(C49,'11.Region'!$B$22:$E$243,4,FALSE())</f>
        <v>Africa</v>
      </c>
      <c r="I49" s="548" t="n">
        <f aca="false">G49</f>
        <v>3.94934736358746</v>
      </c>
    </row>
    <row r="50" customFormat="false" ht="15" hidden="false" customHeight="false" outlineLevel="0" collapsed="false">
      <c r="C50" s="546" t="s">
        <v>369</v>
      </c>
      <c r="D50" s="543" t="n">
        <v>1.12949</v>
      </c>
      <c r="E50" s="543" t="n">
        <v>110.44233</v>
      </c>
      <c r="F50" s="543" t="n">
        <v>29.9557277566339</v>
      </c>
      <c r="G50" s="547" t="n">
        <f aca="false">D50*E50/F50</f>
        <v>4.16426228483382</v>
      </c>
      <c r="H50" s="0" t="str">
        <f aca="false">VLOOKUP(C50,'11.Region'!$B$22:$E$243,4,FALSE())</f>
        <v>Africa</v>
      </c>
      <c r="I50" s="548" t="n">
        <f aca="false">G50</f>
        <v>4.16426228483382</v>
      </c>
    </row>
    <row r="51" customFormat="false" ht="15" hidden="false" customHeight="false" outlineLevel="0" collapsed="false">
      <c r="C51" s="546" t="s">
        <v>373</v>
      </c>
      <c r="D51" s="543" t="n">
        <v>1.12949</v>
      </c>
      <c r="E51" s="543" t="n">
        <v>17.8138</v>
      </c>
      <c r="F51" s="543" t="n">
        <v>3.07101784206236</v>
      </c>
      <c r="G51" s="547" t="n">
        <f aca="false">D51*E51/F51</f>
        <v>6.55173951984856</v>
      </c>
      <c r="H51" s="0" t="str">
        <f aca="false">VLOOKUP(C51,'11.Region'!$B$22:$E$243,4,FALSE())</f>
        <v>Africa</v>
      </c>
      <c r="I51" s="548" t="n">
        <f aca="false">G51</f>
        <v>6.55173951984856</v>
      </c>
    </row>
    <row r="52" customFormat="false" ht="15" hidden="false" customHeight="false" outlineLevel="0" collapsed="false">
      <c r="C52" s="546" t="s">
        <v>477</v>
      </c>
      <c r="D52" s="543" t="n">
        <v>1.12949</v>
      </c>
      <c r="E52" s="551" t="n">
        <v>102.73307</v>
      </c>
      <c r="F52" s="551" t="n">
        <v>0.551820541973775</v>
      </c>
      <c r="G52" s="547" t="n">
        <f aca="false">D52*E52/F52</f>
        <v>210.278462666971</v>
      </c>
      <c r="H52" s="0" t="str">
        <f aca="false">VLOOKUP(C52,'11.Region'!$B$22:$E$243,4,FALSE())</f>
        <v>Africa</v>
      </c>
      <c r="I52" s="548" t="n">
        <f aca="false">$K$3</f>
        <v>3.03256163278312</v>
      </c>
      <c r="J52" s="0" t="s">
        <v>257</v>
      </c>
    </row>
    <row r="53" customFormat="false" ht="15" hidden="false" customHeight="false" outlineLevel="0" collapsed="false">
      <c r="C53" s="546" t="s">
        <v>361</v>
      </c>
      <c r="D53" s="543" t="n">
        <v>1.12949</v>
      </c>
      <c r="E53" s="543" t="n">
        <v>177.71958</v>
      </c>
      <c r="G53" s="547" t="e">
        <f aca="false">D53*E53/F53</f>
        <v>#DIV/0!</v>
      </c>
      <c r="H53" s="0" t="str">
        <f aca="false">VLOOKUP(C53,'11.Region'!$B$22:$E$243,4,FALSE())</f>
        <v>Africa</v>
      </c>
      <c r="I53" s="548" t="n">
        <f aca="false">$K$3</f>
        <v>3.03256163278312</v>
      </c>
      <c r="J53" s="0" t="s">
        <v>257</v>
      </c>
    </row>
    <row r="54" customFormat="false" ht="15" hidden="false" customHeight="false" outlineLevel="0" collapsed="false">
      <c r="C54" s="546" t="s">
        <v>375</v>
      </c>
      <c r="D54" s="543" t="n">
        <v>1.12949</v>
      </c>
      <c r="G54" s="547" t="e">
        <f aca="false">D54*E54/F54</f>
        <v>#DIV/0!</v>
      </c>
      <c r="H54" s="0" t="str">
        <f aca="false">VLOOKUP(C54,'11.Region'!$B$22:$E$243,4,FALSE())</f>
        <v>Africa</v>
      </c>
      <c r="I54" s="548" t="n">
        <f aca="false">$K$3</f>
        <v>3.03256163278312</v>
      </c>
      <c r="J54" s="0" t="s">
        <v>257</v>
      </c>
    </row>
    <row r="55" customFormat="false" ht="15" hidden="false" customHeight="false" outlineLevel="0" collapsed="false">
      <c r="C55" s="546" t="s">
        <v>609</v>
      </c>
      <c r="D55" s="543" t="n">
        <v>1.12949</v>
      </c>
      <c r="E55" s="543" t="n">
        <v>545.65568</v>
      </c>
      <c r="G55" s="547" t="e">
        <f aca="false">D55*E55/F55</f>
        <v>#DIV/0!</v>
      </c>
      <c r="H55" s="0" t="str">
        <f aca="false">VLOOKUP(C55,'11.Region'!$B$22:$E$243,4,FALSE())</f>
        <v>Africa</v>
      </c>
      <c r="I55" s="548" t="n">
        <f aca="false">$K$3</f>
        <v>3.03256163278312</v>
      </c>
      <c r="J55" s="0" t="s">
        <v>257</v>
      </c>
    </row>
    <row r="56" customFormat="false" ht="15" hidden="false" customHeight="false" outlineLevel="0" collapsed="false">
      <c r="C56" s="546" t="s">
        <v>613</v>
      </c>
      <c r="D56" s="543" t="n">
        <v>1.12949</v>
      </c>
      <c r="F56" s="543" t="n">
        <v>0</v>
      </c>
      <c r="G56" s="547" t="e">
        <f aca="false">D56*E56/F56</f>
        <v>#DIV/0!</v>
      </c>
      <c r="H56" s="0" t="str">
        <f aca="false">VLOOKUP(C56,'11.Region'!$B$22:$E$243,4,FALSE())</f>
        <v>Africa</v>
      </c>
      <c r="I56" s="548" t="n">
        <f aca="false">$K$3</f>
        <v>3.03256163278312</v>
      </c>
      <c r="J56" s="0" t="s">
        <v>257</v>
      </c>
    </row>
    <row r="57" customFormat="false" ht="15" hidden="false" customHeight="false" outlineLevel="0" collapsed="false">
      <c r="C57" s="546" t="s">
        <v>301</v>
      </c>
      <c r="D57" s="543" t="n">
        <v>1.12949</v>
      </c>
      <c r="E57" s="543" t="n">
        <v>1</v>
      </c>
      <c r="F57" s="543" t="n">
        <v>1.01090506442159</v>
      </c>
      <c r="G57" s="547" t="n">
        <f aca="false">D57*E57/F57</f>
        <v>1.11730570926189</v>
      </c>
      <c r="H57" s="0" t="str">
        <f aca="false">VLOOKUP(C57,'11.Region'!$B$22:$E$243,4,FALSE())</f>
        <v>Americas</v>
      </c>
      <c r="I57" s="548" t="n">
        <f aca="false">G57</f>
        <v>1.11730570926189</v>
      </c>
      <c r="K57" s="549" t="n">
        <f aca="false">AVERAGE(G57:G89)</f>
        <v>1.96289944979353</v>
      </c>
      <c r="L57" s="550" t="s">
        <v>256</v>
      </c>
    </row>
    <row r="58" customFormat="false" ht="15" hidden="false" customHeight="false" outlineLevel="0" collapsed="false">
      <c r="C58" s="546" t="s">
        <v>665</v>
      </c>
      <c r="D58" s="543" t="n">
        <v>1.12949</v>
      </c>
      <c r="E58" s="543" t="n">
        <v>1</v>
      </c>
      <c r="F58" s="543" t="n">
        <v>1</v>
      </c>
      <c r="G58" s="547" t="n">
        <f aca="false">D58*E58/F58</f>
        <v>1.12949</v>
      </c>
      <c r="H58" s="0" t="str">
        <f aca="false">VLOOKUP(C58,'11.Region'!$B$22:$E$243,4,FALSE())</f>
        <v>Americas</v>
      </c>
      <c r="I58" s="548" t="n">
        <f aca="false">G58</f>
        <v>1.12949</v>
      </c>
    </row>
    <row r="59" customFormat="false" ht="15" hidden="false" customHeight="false" outlineLevel="0" collapsed="false">
      <c r="C59" s="546" t="s">
        <v>325</v>
      </c>
      <c r="D59" s="543" t="n">
        <v>1.12949</v>
      </c>
      <c r="E59" s="552" t="n">
        <v>1.298</v>
      </c>
      <c r="F59" s="543" t="n">
        <v>1.260086</v>
      </c>
      <c r="G59" s="547" t="n">
        <f aca="false">D59*E59/F59</f>
        <v>1.16347457237046</v>
      </c>
      <c r="H59" s="0" t="str">
        <f aca="false">VLOOKUP(C59,'11.Region'!$B$22:$E$243,4,FALSE())</f>
        <v>Americas</v>
      </c>
      <c r="I59" s="548" t="n">
        <f aca="false">G59</f>
        <v>1.16347457237046</v>
      </c>
    </row>
    <row r="60" customFormat="false" ht="15" hidden="false" customHeight="false" outlineLevel="0" collapsed="false">
      <c r="C60" s="546" t="s">
        <v>315</v>
      </c>
      <c r="D60" s="543" t="n">
        <v>1.12949</v>
      </c>
      <c r="E60" s="543" t="n">
        <v>2</v>
      </c>
      <c r="F60" s="543" t="n">
        <v>1.80141392038228</v>
      </c>
      <c r="G60" s="547" t="n">
        <f aca="false">D60*E60/F60</f>
        <v>1.25400385466135</v>
      </c>
      <c r="H60" s="0" t="str">
        <f aca="false">VLOOKUP(C60,'11.Region'!$B$22:$E$243,4,FALSE())</f>
        <v>Americas</v>
      </c>
      <c r="I60" s="548" t="n">
        <f aca="false">G60</f>
        <v>1.25400385466135</v>
      </c>
    </row>
    <row r="61" customFormat="false" ht="15" hidden="false" customHeight="false" outlineLevel="0" collapsed="false">
      <c r="C61" s="546" t="s">
        <v>663</v>
      </c>
      <c r="D61" s="543" t="n">
        <v>1.12949</v>
      </c>
      <c r="E61" s="543" t="n">
        <v>28.2364</v>
      </c>
      <c r="F61" s="543" t="n">
        <v>21.7593822626899</v>
      </c>
      <c r="G61" s="547" t="n">
        <f aca="false">D61*E61/F61</f>
        <v>1.46570022305667</v>
      </c>
      <c r="H61" s="0" t="str">
        <f aca="false">VLOOKUP(C61,'11.Region'!$B$22:$E$243,4,FALSE())</f>
        <v>Americas</v>
      </c>
      <c r="I61" s="548" t="n">
        <f aca="false">G61</f>
        <v>1.46570022305667</v>
      </c>
    </row>
    <row r="62" customFormat="false" ht="15" hidden="false" customHeight="false" outlineLevel="0" collapsed="false">
      <c r="C62" s="546" t="s">
        <v>363</v>
      </c>
      <c r="D62" s="543" t="n">
        <v>1.12949</v>
      </c>
      <c r="E62" s="543" t="n">
        <v>2.7</v>
      </c>
      <c r="F62" s="543" t="n">
        <v>1.93465653722583</v>
      </c>
      <c r="G62" s="547" t="n">
        <f aca="false">D62*E62/F62</f>
        <v>1.57631235380568</v>
      </c>
      <c r="H62" s="0" t="str">
        <f aca="false">VLOOKUP(C62,'11.Region'!$B$22:$E$243,4,FALSE())</f>
        <v>Americas</v>
      </c>
      <c r="I62" s="548" t="n">
        <f aca="false">G62</f>
        <v>1.57631235380568</v>
      </c>
    </row>
    <row r="63" customFormat="false" ht="15" hidden="false" customHeight="false" outlineLevel="0" collapsed="false">
      <c r="C63" s="546" t="s">
        <v>347</v>
      </c>
      <c r="D63" s="543" t="n">
        <v>1.12949</v>
      </c>
      <c r="E63" s="543" t="n">
        <v>553.84983</v>
      </c>
      <c r="F63" s="543" t="n">
        <v>390.705340687035</v>
      </c>
      <c r="G63" s="547" t="n">
        <f aca="false">D63*E63/F63</f>
        <v>1.60112437517919</v>
      </c>
      <c r="H63" s="0" t="str">
        <f aca="false">VLOOKUP(C63,'11.Region'!$B$22:$E$243,4,FALSE())</f>
        <v>Americas</v>
      </c>
      <c r="I63" s="548" t="n">
        <f aca="false">G63</f>
        <v>1.60112437517919</v>
      </c>
    </row>
    <row r="64" customFormat="false" ht="15" hidden="false" customHeight="false" outlineLevel="0" collapsed="false">
      <c r="C64" s="546" t="s">
        <v>413</v>
      </c>
      <c r="D64" s="543" t="n">
        <v>1.12949</v>
      </c>
      <c r="E64" s="543" t="n">
        <v>2.7</v>
      </c>
      <c r="F64" s="543" t="n">
        <v>1.87721935292305</v>
      </c>
      <c r="G64" s="547" t="n">
        <f aca="false">D64*E64/F64</f>
        <v>1.62454270208294</v>
      </c>
      <c r="H64" s="0" t="str">
        <f aca="false">VLOOKUP(C64,'11.Region'!$B$22:$E$243,4,FALSE())</f>
        <v>Americas</v>
      </c>
      <c r="I64" s="548" t="n">
        <f aca="false">G64</f>
        <v>1.62454270208294</v>
      </c>
    </row>
    <row r="65" customFormat="false" ht="15" hidden="false" customHeight="false" outlineLevel="0" collapsed="false">
      <c r="C65" s="546" t="s">
        <v>272</v>
      </c>
      <c r="D65" s="543" t="n">
        <v>1.12949</v>
      </c>
      <c r="E65" s="553" t="n">
        <v>16.5321</v>
      </c>
      <c r="F65" s="543" t="n">
        <v>11.4735355191664</v>
      </c>
      <c r="G65" s="547" t="n">
        <f aca="false">D65*E65/F65</f>
        <v>1.62747059071785</v>
      </c>
      <c r="H65" s="0" t="str">
        <f aca="false">VLOOKUP(C65,'11.Region'!$B$22:$E$243,4,FALSE())</f>
        <v>Americas</v>
      </c>
      <c r="I65" s="548" t="n">
        <f aca="false">G65</f>
        <v>1.62747059071785</v>
      </c>
    </row>
    <row r="66" customFormat="false" ht="15" hidden="false" customHeight="false" outlineLevel="0" collapsed="false">
      <c r="C66" s="546" t="s">
        <v>481</v>
      </c>
      <c r="D66" s="543" t="n">
        <v>1.12949</v>
      </c>
      <c r="E66" s="543" t="n">
        <v>2.7</v>
      </c>
      <c r="F66" s="543" t="n">
        <v>1.81800302884694</v>
      </c>
      <c r="G66" s="547" t="n">
        <f aca="false">D66*E66/F66</f>
        <v>1.67745760134086</v>
      </c>
      <c r="H66" s="0" t="str">
        <f aca="false">VLOOKUP(C66,'11.Region'!$B$22:$E$243,4,FALSE())</f>
        <v>Americas</v>
      </c>
      <c r="I66" s="548" t="n">
        <f aca="false">G66</f>
        <v>1.67745760134086</v>
      </c>
    </row>
    <row r="67" customFormat="false" ht="15" hidden="false" customHeight="false" outlineLevel="0" collapsed="false">
      <c r="C67" s="546" t="s">
        <v>329</v>
      </c>
      <c r="D67" s="543" t="n">
        <v>1.12949</v>
      </c>
      <c r="E67" s="543" t="n">
        <v>645.82664</v>
      </c>
      <c r="F67" s="543" t="n">
        <v>413.423606</v>
      </c>
      <c r="G67" s="547" t="n">
        <f aca="false">D67*E67/F67</f>
        <v>1.76442448139645</v>
      </c>
      <c r="H67" s="0" t="str">
        <f aca="false">VLOOKUP(C67,'11.Region'!$B$22:$E$243,4,FALSE())</f>
        <v>Americas</v>
      </c>
      <c r="I67" s="548" t="n">
        <f aca="false">G67</f>
        <v>1.76442448139645</v>
      </c>
    </row>
    <row r="68" customFormat="false" ht="15" hidden="false" customHeight="false" outlineLevel="0" collapsed="false">
      <c r="C68" s="546" t="s">
        <v>279</v>
      </c>
      <c r="D68" s="543" t="n">
        <v>1.12949</v>
      </c>
      <c r="E68" s="543" t="n">
        <v>2.7</v>
      </c>
      <c r="F68" s="543" t="n">
        <v>1.71903062463935</v>
      </c>
      <c r="G68" s="547" t="n">
        <f aca="false">D68*E68/F68</f>
        <v>1.77403645769243</v>
      </c>
      <c r="H68" s="0" t="str">
        <f aca="false">VLOOKUP(C68,'11.Region'!$B$22:$E$243,4,FALSE())</f>
        <v>Americas</v>
      </c>
      <c r="I68" s="548" t="n">
        <f aca="false">G68</f>
        <v>1.77403645769243</v>
      </c>
    </row>
    <row r="69" customFormat="false" ht="15" hidden="false" customHeight="false" outlineLevel="0" collapsed="false">
      <c r="C69" s="546" t="s">
        <v>313</v>
      </c>
      <c r="D69" s="543" t="n">
        <v>1.12949</v>
      </c>
      <c r="E69" s="543" t="n">
        <v>3.19072</v>
      </c>
      <c r="F69" s="543" t="n">
        <v>2.02434577683181</v>
      </c>
      <c r="G69" s="547" t="n">
        <f aca="false">D69*E69/F69</f>
        <v>1.78027211262309</v>
      </c>
      <c r="H69" s="0" t="str">
        <f aca="false">VLOOKUP(C69,'11.Region'!$B$22:$E$243,4,FALSE())</f>
        <v>Americas</v>
      </c>
      <c r="I69" s="548" t="n">
        <f aca="false">G69</f>
        <v>1.78027211262309</v>
      </c>
    </row>
    <row r="70" customFormat="false" ht="15" hidden="false" customHeight="false" outlineLevel="0" collapsed="false">
      <c r="C70" s="546" t="s">
        <v>467</v>
      </c>
      <c r="D70" s="543" t="n">
        <v>1.12949</v>
      </c>
      <c r="E70" s="543" t="n">
        <v>2.7</v>
      </c>
      <c r="F70" s="543" t="n">
        <v>1.70478903847639</v>
      </c>
      <c r="G70" s="547" t="n">
        <f aca="false">D70*E70/F70</f>
        <v>1.78885652779978</v>
      </c>
      <c r="H70" s="0" t="str">
        <f aca="false">VLOOKUP(C70,'11.Region'!$B$22:$E$243,4,FALSE())</f>
        <v>Americas</v>
      </c>
      <c r="I70" s="548" t="n">
        <f aca="false">G70</f>
        <v>1.78885652779978</v>
      </c>
    </row>
    <row r="71" customFormat="false" ht="15" hidden="false" customHeight="false" outlineLevel="0" collapsed="false">
      <c r="C71" s="546" t="s">
        <v>561</v>
      </c>
      <c r="D71" s="543" t="n">
        <v>1.12949</v>
      </c>
      <c r="E71" s="543" t="n">
        <v>1</v>
      </c>
      <c r="F71" s="543" t="n">
        <v>0.617184784399304</v>
      </c>
      <c r="G71" s="547" t="n">
        <f aca="false">D71*E71/F71</f>
        <v>1.83006779906169</v>
      </c>
      <c r="H71" s="0" t="str">
        <f aca="false">VLOOKUP(C71,'11.Region'!$B$22:$E$243,4,FALSE())</f>
        <v>Americas</v>
      </c>
      <c r="I71" s="548" t="n">
        <f aca="false">G71</f>
        <v>1.83006779906169</v>
      </c>
    </row>
    <row r="72" customFormat="false" ht="15" hidden="false" customHeight="false" outlineLevel="0" collapsed="false">
      <c r="C72" s="546" t="s">
        <v>669</v>
      </c>
      <c r="D72" s="543" t="n">
        <v>1.12949</v>
      </c>
      <c r="E72" s="543" t="n">
        <v>2.7</v>
      </c>
      <c r="F72" s="543" t="n">
        <v>1.64729847137889</v>
      </c>
      <c r="G72" s="547" t="n">
        <f aca="false">D72*E72/F72</f>
        <v>1.85128745821471</v>
      </c>
      <c r="H72" s="0" t="str">
        <f aca="false">VLOOKUP(C72,'11.Region'!$B$22:$E$243,4,FALSE())</f>
        <v>Americas</v>
      </c>
      <c r="I72" s="548" t="n">
        <f aca="false">G72</f>
        <v>1.85128745821471</v>
      </c>
    </row>
    <row r="73" customFormat="false" ht="15" hidden="false" customHeight="false" outlineLevel="0" collapsed="false">
      <c r="C73" s="546" t="s">
        <v>421</v>
      </c>
      <c r="D73" s="543" t="n">
        <v>1.12949</v>
      </c>
      <c r="E73" s="543" t="n">
        <v>198.80174</v>
      </c>
      <c r="F73" s="543" t="n">
        <v>119.542572517499</v>
      </c>
      <c r="G73" s="547" t="n">
        <f aca="false">D73*E73/F73</f>
        <v>1.87836494216092</v>
      </c>
      <c r="H73" s="0" t="str">
        <f aca="false">VLOOKUP(C73,'11.Region'!$B$22:$E$243,4,FALSE())</f>
        <v>Americas</v>
      </c>
      <c r="I73" s="548" t="n">
        <f aca="false">G73</f>
        <v>1.87836494216092</v>
      </c>
    </row>
    <row r="74" customFormat="false" ht="15" hidden="false" customHeight="false" outlineLevel="0" collapsed="false">
      <c r="C74" s="546" t="s">
        <v>451</v>
      </c>
      <c r="D74" s="543" t="n">
        <v>1.12949</v>
      </c>
      <c r="E74" s="543" t="n">
        <v>126.88546</v>
      </c>
      <c r="F74" s="543" t="n">
        <v>72.6865919237836</v>
      </c>
      <c r="G74" s="547" t="n">
        <f aca="false">D74*E74/F74</f>
        <v>1.97169594036924</v>
      </c>
      <c r="H74" s="0" t="str">
        <f aca="false">VLOOKUP(C74,'11.Region'!$B$22:$E$243,4,FALSE())</f>
        <v>Americas</v>
      </c>
      <c r="I74" s="548" t="n">
        <f aca="false">G74</f>
        <v>1.97169594036924</v>
      </c>
    </row>
    <row r="75" customFormat="false" ht="15" hidden="false" customHeight="false" outlineLevel="0" collapsed="false">
      <c r="C75" s="546" t="s">
        <v>307</v>
      </c>
      <c r="D75" s="543" t="n">
        <v>1.12949</v>
      </c>
      <c r="E75" s="543" t="n">
        <v>2</v>
      </c>
      <c r="F75" s="543" t="n">
        <v>1.14214172621669</v>
      </c>
      <c r="G75" s="547" t="n">
        <f aca="false">D75*E75/F75</f>
        <v>1.97784561070438</v>
      </c>
      <c r="H75" s="0" t="str">
        <f aca="false">VLOOKUP(C75,'11.Region'!$B$22:$E$243,4,FALSE())</f>
        <v>Americas</v>
      </c>
      <c r="I75" s="548" t="n">
        <f aca="false">G75</f>
        <v>1.97784561070438</v>
      </c>
    </row>
    <row r="76" customFormat="false" ht="15" hidden="false" customHeight="false" outlineLevel="0" collapsed="false">
      <c r="C76" s="546" t="s">
        <v>417</v>
      </c>
      <c r="D76" s="543" t="n">
        <v>1.12949</v>
      </c>
      <c r="E76" s="543" t="n">
        <v>7.18309</v>
      </c>
      <c r="F76" s="543" t="n">
        <v>4.03083771439375</v>
      </c>
      <c r="G76" s="547" t="n">
        <f aca="false">D76*E76/F76</f>
        <v>2.01278962314171</v>
      </c>
      <c r="H76" s="0" t="str">
        <f aca="false">VLOOKUP(C76,'11.Region'!$B$22:$E$243,4,FALSE())</f>
        <v>Americas</v>
      </c>
      <c r="I76" s="548" t="n">
        <f aca="false">G76</f>
        <v>2.01278962314171</v>
      </c>
    </row>
    <row r="77" customFormat="false" ht="15" hidden="false" customHeight="false" outlineLevel="0" collapsed="false">
      <c r="C77" s="546" t="s">
        <v>371</v>
      </c>
      <c r="D77" s="543" t="n">
        <v>1.12949</v>
      </c>
      <c r="E77" s="543" t="n">
        <v>1</v>
      </c>
      <c r="F77" s="543" t="n">
        <v>0.533590297937366</v>
      </c>
      <c r="G77" s="547" t="n">
        <f aca="false">D77*E77/F77</f>
        <v>2.11677387007622</v>
      </c>
      <c r="H77" s="0" t="str">
        <f aca="false">VLOOKUP(C77,'11.Region'!$B$22:$E$243,4,FALSE())</f>
        <v>Americas</v>
      </c>
      <c r="I77" s="548" t="n">
        <f aca="false">G77</f>
        <v>2.11677387007622</v>
      </c>
    </row>
    <row r="78" customFormat="false" ht="15" hidden="false" customHeight="false" outlineLevel="0" collapsed="false">
      <c r="C78" s="546" t="s">
        <v>649</v>
      </c>
      <c r="D78" s="543" t="n">
        <v>1.12949</v>
      </c>
      <c r="E78" s="543" t="n">
        <v>6.62864</v>
      </c>
      <c r="F78" s="543" t="n">
        <v>3.46221622700994</v>
      </c>
      <c r="G78" s="547" t="n">
        <f aca="false">D78*E78/F78</f>
        <v>2.1624826708371</v>
      </c>
      <c r="H78" s="0" t="str">
        <f aca="false">VLOOKUP(C78,'11.Region'!$B$22:$E$243,4,FALSE())</f>
        <v>Americas</v>
      </c>
      <c r="I78" s="548" t="n">
        <f aca="false">G78</f>
        <v>2.1624826708371</v>
      </c>
    </row>
    <row r="79" customFormat="false" ht="15" hidden="false" customHeight="false" outlineLevel="0" collapsed="false">
      <c r="C79" s="546" t="s">
        <v>425</v>
      </c>
      <c r="D79" s="543" t="n">
        <v>1.12949</v>
      </c>
      <c r="E79" s="543" t="n">
        <v>23.12483</v>
      </c>
      <c r="F79" s="543" t="n">
        <v>11.6823631907139</v>
      </c>
      <c r="G79" s="547" t="n">
        <f aca="false">D79*E79/F79</f>
        <v>2.2357860143795</v>
      </c>
      <c r="H79" s="0" t="str">
        <f aca="false">VLOOKUP(C79,'11.Region'!$B$22:$E$243,4,FALSE())</f>
        <v>Americas</v>
      </c>
      <c r="I79" s="548" t="n">
        <f aca="false">G79</f>
        <v>2.2357860143795</v>
      </c>
    </row>
    <row r="80" customFormat="false" ht="15" hidden="false" customHeight="false" outlineLevel="0" collapsed="false">
      <c r="C80" s="546" t="s">
        <v>563</v>
      </c>
      <c r="D80" s="543" t="n">
        <v>1.12949</v>
      </c>
      <c r="E80" s="543" t="n">
        <v>3.22299</v>
      </c>
      <c r="F80" s="543" t="n">
        <v>1.59512337178714</v>
      </c>
      <c r="G80" s="547" t="n">
        <f aca="false">D80*E80/F80</f>
        <v>2.28216515379713</v>
      </c>
      <c r="H80" s="0" t="str">
        <f aca="false">VLOOKUP(C80,'11.Region'!$B$22:$E$243,4,FALSE())</f>
        <v>Americas</v>
      </c>
      <c r="I80" s="548" t="n">
        <f aca="false">G80</f>
        <v>2.28216515379713</v>
      </c>
    </row>
    <row r="81" customFormat="false" ht="15" hidden="false" customHeight="false" outlineLevel="0" collapsed="false">
      <c r="C81" s="546" t="s">
        <v>509</v>
      </c>
      <c r="D81" s="543" t="n">
        <v>1.12949</v>
      </c>
      <c r="E81" s="543" t="n">
        <v>18.90363</v>
      </c>
      <c r="F81" s="543" t="n">
        <v>9.285451</v>
      </c>
      <c r="G81" s="547" t="n">
        <f aca="false">D81*E81/F81</f>
        <v>2.29945331128235</v>
      </c>
      <c r="H81" s="0" t="str">
        <f aca="false">VLOOKUP(C81,'11.Region'!$B$22:$E$243,4,FALSE())</f>
        <v>Americas</v>
      </c>
      <c r="I81" s="548" t="n">
        <f aca="false">G81</f>
        <v>2.29945331128235</v>
      </c>
    </row>
    <row r="82" customFormat="false" ht="15" hidden="false" customHeight="false" outlineLevel="0" collapsed="false">
      <c r="C82" s="546" t="s">
        <v>605</v>
      </c>
      <c r="D82" s="543" t="n">
        <v>1.12949</v>
      </c>
      <c r="E82" s="543" t="n">
        <v>1</v>
      </c>
      <c r="F82" s="543" t="n">
        <v>0.485795653310238</v>
      </c>
      <c r="G82" s="547" t="n">
        <f aca="false">D82*E82/F82</f>
        <v>2.32503109548962</v>
      </c>
      <c r="H82" s="0" t="str">
        <f aca="false">VLOOKUP(C82,'11.Region'!$B$22:$E$243,4,FALSE())</f>
        <v>Americas</v>
      </c>
      <c r="I82" s="548" t="n">
        <f aca="false">G82</f>
        <v>2.32503109548962</v>
      </c>
    </row>
    <row r="83" customFormat="false" ht="15" hidden="false" customHeight="false" outlineLevel="0" collapsed="false">
      <c r="C83" s="546" t="s">
        <v>311</v>
      </c>
      <c r="D83" s="543" t="n">
        <v>1.12949</v>
      </c>
      <c r="E83" s="543" t="n">
        <v>6.77749</v>
      </c>
      <c r="F83" s="543" t="n">
        <v>3.1022954198651</v>
      </c>
      <c r="G83" s="547" t="n">
        <f aca="false">D83*E83/F83</f>
        <v>2.46756228664802</v>
      </c>
      <c r="H83" s="0" t="str">
        <f aca="false">VLOOKUP(C83,'11.Region'!$B$22:$E$243,4,FALSE())</f>
        <v>Americas</v>
      </c>
      <c r="I83" s="548" t="n">
        <f aca="false">G83</f>
        <v>2.46756228664802</v>
      </c>
    </row>
    <row r="84" customFormat="false" ht="15" hidden="false" customHeight="false" outlineLevel="0" collapsed="false">
      <c r="C84" s="546" t="s">
        <v>579</v>
      </c>
      <c r="D84" s="543" t="n">
        <v>1.12949</v>
      </c>
      <c r="E84" s="543" t="n">
        <v>5513.89016</v>
      </c>
      <c r="F84" s="543" t="n">
        <v>2505.70901313975</v>
      </c>
      <c r="G84" s="547" t="n">
        <f aca="false">D84*E84/F84</f>
        <v>2.48547766885933</v>
      </c>
      <c r="H84" s="0" t="str">
        <f aca="false">VLOOKUP(C84,'11.Region'!$B$22:$E$243,4,FALSE())</f>
        <v>Americas</v>
      </c>
      <c r="I84" s="548" t="n">
        <f aca="false">G84</f>
        <v>2.48547766885933</v>
      </c>
    </row>
    <row r="85" customFormat="false" ht="15" hidden="false" customHeight="false" outlineLevel="0" collapsed="false">
      <c r="C85" s="546" t="s">
        <v>367</v>
      </c>
      <c r="D85" s="543" t="n">
        <v>1.12949</v>
      </c>
      <c r="E85" s="543" t="n">
        <v>46.83891</v>
      </c>
      <c r="F85" s="543" t="n">
        <v>20.9347456424888</v>
      </c>
      <c r="G85" s="547" t="n">
        <f aca="false">D85*E85/F85</f>
        <v>2.52709449445265</v>
      </c>
      <c r="H85" s="0" t="str">
        <f aca="false">VLOOKUP(C85,'11.Region'!$B$22:$E$243,4,FALSE())</f>
        <v>Americas</v>
      </c>
      <c r="I85" s="548" t="n">
        <f aca="false">G85</f>
        <v>2.52709449445265</v>
      </c>
    </row>
    <row r="86" customFormat="false" ht="15" hidden="false" customHeight="false" outlineLevel="0" collapsed="false">
      <c r="C86" s="546" t="s">
        <v>341</v>
      </c>
      <c r="D86" s="543" t="n">
        <v>1.12949</v>
      </c>
      <c r="E86" s="543" t="n">
        <v>2941.83494</v>
      </c>
      <c r="F86" s="543" t="n">
        <v>1278.0404018831</v>
      </c>
      <c r="G86" s="547" t="n">
        <f aca="false">D86*E86/F86</f>
        <v>2.59989679628651</v>
      </c>
      <c r="H86" s="0" t="str">
        <f aca="false">VLOOKUP(C86,'11.Region'!$B$22:$E$243,4,FALSE())</f>
        <v>Americas</v>
      </c>
      <c r="I86" s="548" t="n">
        <f aca="false">G86</f>
        <v>2.59989679628651</v>
      </c>
    </row>
    <row r="87" customFormat="false" ht="15" hidden="false" customHeight="false" outlineLevel="0" collapsed="false">
      <c r="C87" s="546" t="s">
        <v>429</v>
      </c>
      <c r="D87" s="543" t="n">
        <v>1.12949</v>
      </c>
      <c r="E87" s="543" t="n">
        <v>64.11254</v>
      </c>
      <c r="F87" s="543" t="n">
        <v>27.692046680367</v>
      </c>
      <c r="G87" s="547" t="n">
        <f aca="false">D87*E87/F87</f>
        <v>2.61499172092398</v>
      </c>
      <c r="H87" s="0" t="str">
        <f aca="false">VLOOKUP(C87,'11.Region'!$B$22:$E$243,4,FALSE())</f>
        <v>Americas</v>
      </c>
      <c r="I87" s="548" t="n">
        <f aca="false">G87</f>
        <v>2.61499172092398</v>
      </c>
    </row>
    <row r="88" customFormat="false" ht="15" hidden="false" customHeight="false" outlineLevel="0" collapsed="false">
      <c r="C88" s="546" t="s">
        <v>617</v>
      </c>
      <c r="D88" s="543" t="n">
        <v>1.12949</v>
      </c>
      <c r="E88" s="543" t="n">
        <v>7.4244</v>
      </c>
      <c r="F88" s="543" t="n">
        <v>2.92316603381348</v>
      </c>
      <c r="G88" s="547" t="n">
        <f aca="false">D88*E88/F88</f>
        <v>2.86873392034463</v>
      </c>
      <c r="H88" s="0" t="str">
        <f aca="false">VLOOKUP(C88,'11.Region'!$B$22:$E$243,4,FALSE())</f>
        <v>Americas</v>
      </c>
      <c r="I88" s="548" t="n">
        <f aca="false">G88</f>
        <v>2.86873392034463</v>
      </c>
    </row>
    <row r="89" customFormat="false" ht="15" hidden="false" customHeight="false" outlineLevel="0" collapsed="false">
      <c r="C89" s="546" t="s">
        <v>545</v>
      </c>
      <c r="D89" s="543" t="n">
        <v>1.12949</v>
      </c>
      <c r="E89" s="543" t="n">
        <v>29.58264</v>
      </c>
      <c r="F89" s="543" t="n">
        <v>11.4283896654604</v>
      </c>
      <c r="G89" s="547" t="n">
        <f aca="false">D89*E89/F89</f>
        <v>2.92370990416819</v>
      </c>
      <c r="H89" s="0" t="str">
        <f aca="false">VLOOKUP(C89,'11.Region'!$B$22:$E$243,4,FALSE())</f>
        <v>Americas</v>
      </c>
      <c r="I89" s="548" t="n">
        <f aca="false">G89</f>
        <v>2.92370990416819</v>
      </c>
    </row>
    <row r="90" customFormat="false" ht="15" hidden="false" customHeight="false" outlineLevel="0" collapsed="false">
      <c r="C90" s="546" t="s">
        <v>255</v>
      </c>
      <c r="D90" s="543" t="n">
        <v>1.12949</v>
      </c>
      <c r="E90" s="543" t="n">
        <v>1.78741</v>
      </c>
      <c r="G90" s="547" t="e">
        <f aca="false">D90*E90/F90</f>
        <v>#DIV/0!</v>
      </c>
      <c r="H90" s="0" t="str">
        <f aca="false">VLOOKUP(C90,'11.Region'!$B$22:$E$243,4,FALSE())</f>
        <v>Americas</v>
      </c>
      <c r="I90" s="548" t="n">
        <f aca="false">$K$57</f>
        <v>1.96289944979353</v>
      </c>
      <c r="J90" s="0" t="s">
        <v>257</v>
      </c>
    </row>
    <row r="91" customFormat="false" ht="15" hidden="false" customHeight="false" outlineLevel="0" collapsed="false">
      <c r="C91" s="546" t="s">
        <v>309</v>
      </c>
      <c r="D91" s="543" t="n">
        <v>1.12949</v>
      </c>
      <c r="E91" s="543" t="n">
        <v>1</v>
      </c>
      <c r="G91" s="547" t="e">
        <f aca="false">D91*E91/F91</f>
        <v>#DIV/0!</v>
      </c>
      <c r="H91" s="0" t="str">
        <f aca="false">VLOOKUP(C91,'11.Region'!$B$22:$E$243,4,FALSE())</f>
        <v>Americas</v>
      </c>
      <c r="I91" s="548" t="n">
        <f aca="false">$K$57</f>
        <v>1.96289944979353</v>
      </c>
      <c r="J91" s="0" t="s">
        <v>257</v>
      </c>
    </row>
    <row r="92" customFormat="false" ht="15" hidden="false" customHeight="false" outlineLevel="0" collapsed="false">
      <c r="C92" s="546" t="s">
        <v>349</v>
      </c>
      <c r="D92" s="543" t="n">
        <v>1.12949</v>
      </c>
      <c r="G92" s="547" t="e">
        <f aca="false">D92*E92/F92</f>
        <v>#DIV/0!</v>
      </c>
      <c r="H92" s="0" t="str">
        <f aca="false">VLOOKUP(C92,'11.Region'!$B$22:$E$243,4,FALSE())</f>
        <v>Americas</v>
      </c>
      <c r="I92" s="548" t="n">
        <f aca="false">$K$57</f>
        <v>1.96289944979353</v>
      </c>
      <c r="J92" s="0" t="s">
        <v>257</v>
      </c>
    </row>
    <row r="93" customFormat="false" ht="15" hidden="false" customHeight="false" outlineLevel="0" collapsed="false">
      <c r="C93" s="546" t="s">
        <v>351</v>
      </c>
      <c r="D93" s="543" t="n">
        <v>1.12949</v>
      </c>
      <c r="G93" s="547" t="e">
        <f aca="false">D93*E93/F93</f>
        <v>#DIV/0!</v>
      </c>
      <c r="H93" s="0" t="str">
        <f aca="false">VLOOKUP(C93,'11.Region'!$B$22:$E$243,4,FALSE())</f>
        <v>Americas</v>
      </c>
      <c r="I93" s="548" t="n">
        <f aca="false">$K$57</f>
        <v>1.96289944979353</v>
      </c>
      <c r="J93" s="0" t="s">
        <v>257</v>
      </c>
    </row>
    <row r="94" customFormat="false" ht="15" hidden="false" customHeight="false" outlineLevel="0" collapsed="false">
      <c r="C94" s="546" t="s">
        <v>353</v>
      </c>
      <c r="D94" s="543" t="n">
        <v>1.12949</v>
      </c>
      <c r="G94" s="547" t="e">
        <f aca="false">D94*E94/F94</f>
        <v>#DIV/0!</v>
      </c>
      <c r="H94" s="0" t="str">
        <f aca="false">VLOOKUP(C94,'11.Region'!$B$22:$E$243,4,FALSE())</f>
        <v>Americas</v>
      </c>
      <c r="I94" s="548" t="n">
        <f aca="false">$K$57</f>
        <v>1.96289944979353</v>
      </c>
      <c r="J94" s="0" t="s">
        <v>257</v>
      </c>
    </row>
    <row r="95" customFormat="false" ht="15" hidden="false" customHeight="false" outlineLevel="0" collapsed="false">
      <c r="C95" s="546" t="s">
        <v>415</v>
      </c>
      <c r="D95" s="543" t="n">
        <v>1.12949</v>
      </c>
      <c r="E95" s="545" t="n">
        <v>6.59736</v>
      </c>
      <c r="G95" s="547" t="e">
        <f aca="false">D95*E95/F95</f>
        <v>#DIV/0!</v>
      </c>
      <c r="H95" s="0" t="str">
        <f aca="false">VLOOKUP(C95,'11.Region'!$B$22:$E$243,4,FALSE())</f>
        <v>Americas</v>
      </c>
      <c r="I95" s="548" t="n">
        <f aca="false">$K$57</f>
        <v>1.96289944979353</v>
      </c>
      <c r="J95" s="0" t="s">
        <v>257</v>
      </c>
    </row>
    <row r="96" customFormat="false" ht="15" hidden="false" customHeight="false" outlineLevel="0" collapsed="false">
      <c r="C96" s="546" t="s">
        <v>497</v>
      </c>
      <c r="D96" s="543" t="n">
        <v>1.12949</v>
      </c>
      <c r="G96" s="547" t="e">
        <f aca="false">D96*E96/F96</f>
        <v>#DIV/0!</v>
      </c>
      <c r="H96" s="0" t="str">
        <f aca="false">VLOOKUP(C96,'11.Region'!$B$22:$E$243,4,FALSE())</f>
        <v>Americas</v>
      </c>
      <c r="I96" s="548" t="n">
        <f aca="false">$K$57</f>
        <v>1.96289944979353</v>
      </c>
      <c r="J96" s="0" t="s">
        <v>257</v>
      </c>
    </row>
    <row r="97" customFormat="false" ht="15" hidden="false" customHeight="false" outlineLevel="0" collapsed="false">
      <c r="C97" s="546" t="s">
        <v>573</v>
      </c>
      <c r="D97" s="543" t="n">
        <v>1.12949</v>
      </c>
      <c r="G97" s="547" t="e">
        <f aca="false">D97*E97/F97</f>
        <v>#DIV/0!</v>
      </c>
      <c r="H97" s="0" t="str">
        <f aca="false">VLOOKUP(C97,'11.Region'!$B$22:$E$243,4,FALSE())</f>
        <v>Americas</v>
      </c>
      <c r="I97" s="548" t="n">
        <f aca="false">$K$57</f>
        <v>1.96289944979353</v>
      </c>
      <c r="J97" s="0" t="s">
        <v>257</v>
      </c>
    </row>
    <row r="98" customFormat="false" ht="15" hidden="false" customHeight="false" outlineLevel="0" collapsed="false">
      <c r="C98" s="546" t="s">
        <v>627</v>
      </c>
      <c r="D98" s="543" t="n">
        <v>1.12949</v>
      </c>
      <c r="G98" s="547" t="e">
        <f aca="false">D98*E98/F98</f>
        <v>#DIV/0!</v>
      </c>
      <c r="H98" s="0" t="str">
        <f aca="false">VLOOKUP(C98,'11.Region'!$B$22:$E$243,4,FALSE())</f>
        <v>Americas</v>
      </c>
      <c r="I98" s="548" t="n">
        <f aca="false">$K$57</f>
        <v>1.96289944979353</v>
      </c>
      <c r="J98" s="0" t="s">
        <v>257</v>
      </c>
    </row>
    <row r="99" customFormat="false" ht="15" hidden="false" customHeight="false" outlineLevel="0" collapsed="false">
      <c r="C99" s="546" t="s">
        <v>633</v>
      </c>
      <c r="D99" s="543" t="n">
        <v>1.12949</v>
      </c>
      <c r="G99" s="547" t="e">
        <f aca="false">D99*E99/F99</f>
        <v>#DIV/0!</v>
      </c>
      <c r="H99" s="0" t="str">
        <f aca="false">VLOOKUP(C99,'11.Region'!$B$22:$E$243,4,FALSE())</f>
        <v>Americas</v>
      </c>
      <c r="I99" s="548" t="n">
        <f aca="false">$K$57</f>
        <v>1.96289944979353</v>
      </c>
      <c r="J99" s="0" t="s">
        <v>257</v>
      </c>
    </row>
    <row r="100" customFormat="false" ht="15" hidden="false" customHeight="false" outlineLevel="0" collapsed="false">
      <c r="C100" s="546" t="s">
        <v>671</v>
      </c>
      <c r="D100" s="543" t="n">
        <v>1.12949</v>
      </c>
      <c r="G100" s="547" t="e">
        <f aca="false">D100*E100/F100</f>
        <v>#DIV/0!</v>
      </c>
      <c r="H100" s="0" t="str">
        <f aca="false">VLOOKUP(C100,'11.Region'!$B$22:$E$243,4,FALSE())</f>
        <v>Americas</v>
      </c>
      <c r="I100" s="548" t="n">
        <f aca="false">$K$57</f>
        <v>1.96289944979353</v>
      </c>
      <c r="J100" s="0" t="s">
        <v>257</v>
      </c>
    </row>
    <row r="101" customFormat="false" ht="15" hidden="false" customHeight="false" outlineLevel="0" collapsed="false">
      <c r="C101" s="546" t="s">
        <v>673</v>
      </c>
      <c r="D101" s="543" t="n">
        <v>1.12949</v>
      </c>
      <c r="G101" s="547" t="e">
        <f aca="false">D101*E101/F101</f>
        <v>#DIV/0!</v>
      </c>
      <c r="H101" s="0" t="str">
        <f aca="false">VLOOKUP(C101,'11.Region'!$B$22:$E$243,4,FALSE())</f>
        <v>Americas</v>
      </c>
      <c r="I101" s="548" t="n">
        <f aca="false">$K$57</f>
        <v>1.96289944979353</v>
      </c>
      <c r="J101" s="0" t="s">
        <v>257</v>
      </c>
    </row>
    <row r="102" customFormat="false" ht="15" hidden="false" customHeight="false" outlineLevel="0" collapsed="false">
      <c r="C102" s="546" t="s">
        <v>675</v>
      </c>
      <c r="D102" s="543" t="n">
        <v>1.12949</v>
      </c>
      <c r="G102" s="547" t="e">
        <f aca="false">D102*E102/F102</f>
        <v>#DIV/0!</v>
      </c>
      <c r="H102" s="0" t="str">
        <f aca="false">VLOOKUP(C102,'11.Region'!$B$22:$E$243,4,FALSE())</f>
        <v>Americas</v>
      </c>
      <c r="I102" s="548" t="n">
        <f aca="false">$K$57</f>
        <v>1.96289944979353</v>
      </c>
      <c r="J102" s="0" t="s">
        <v>257</v>
      </c>
    </row>
    <row r="103" customFormat="false" ht="15" hidden="false" customHeight="false" outlineLevel="0" collapsed="false">
      <c r="C103" s="546" t="s">
        <v>581</v>
      </c>
      <c r="D103" s="543" t="n">
        <v>1.12949</v>
      </c>
      <c r="F103" s="543" t="n">
        <v>2.28021651476943</v>
      </c>
      <c r="G103" s="547" t="n">
        <f aca="false">D103*E103/F103</f>
        <v>0</v>
      </c>
      <c r="H103" s="0" t="str">
        <f aca="false">VLOOKUP(C103,'11.Region'!$B$22:$E$243,4,FALSE())</f>
        <v>Asia</v>
      </c>
      <c r="I103" s="548" t="n">
        <f aca="false">$K$103</f>
        <v>3.00272943672245</v>
      </c>
      <c r="J103" s="0" t="s">
        <v>257</v>
      </c>
      <c r="K103" s="549" t="n">
        <f aca="false">AVERAGE(G104:G149)</f>
        <v>3.00272943672245</v>
      </c>
      <c r="L103" s="550" t="s">
        <v>260</v>
      </c>
    </row>
    <row r="104" customFormat="false" ht="15" hidden="false" customHeight="false" outlineLevel="0" collapsed="false">
      <c r="C104" s="546" t="s">
        <v>447</v>
      </c>
      <c r="D104" s="543" t="n">
        <v>1.12949</v>
      </c>
      <c r="E104" s="543" t="n">
        <v>3.59563</v>
      </c>
      <c r="F104" s="543" t="n">
        <v>3.773624</v>
      </c>
      <c r="G104" s="547" t="n">
        <f aca="false">D104*E104/F104</f>
        <v>1.07621430452531</v>
      </c>
      <c r="H104" s="0" t="str">
        <f aca="false">VLOOKUP(C104,'11.Region'!$B$22:$E$243,4,FALSE())</f>
        <v>Asia</v>
      </c>
      <c r="I104" s="548" t="n">
        <f aca="false">G104</f>
        <v>1.07621430452531</v>
      </c>
    </row>
    <row r="105" customFormat="false" ht="15" hidden="false" customHeight="false" outlineLevel="0" collapsed="false">
      <c r="C105" s="546" t="s">
        <v>455</v>
      </c>
      <c r="D105" s="543" t="n">
        <v>1.12949</v>
      </c>
      <c r="E105" s="543" t="n">
        <v>112.14867</v>
      </c>
      <c r="F105" s="543" t="n">
        <v>98.239494</v>
      </c>
      <c r="G105" s="547" t="n">
        <f aca="false">D105*E105/F105</f>
        <v>1.28940812010188</v>
      </c>
      <c r="H105" s="0" t="str">
        <f aca="false">VLOOKUP(C105,'11.Region'!$B$22:$E$243,4,FALSE())</f>
        <v>Asia</v>
      </c>
      <c r="I105" s="548" t="n">
        <f aca="false">G105</f>
        <v>1.28940812010188</v>
      </c>
    </row>
    <row r="106" customFormat="false" ht="15" hidden="false" customHeight="false" outlineLevel="0" collapsed="false">
      <c r="C106" s="546" t="s">
        <v>469</v>
      </c>
      <c r="D106" s="543" t="n">
        <v>1.12949</v>
      </c>
      <c r="E106" s="543" t="n">
        <v>1128.64633</v>
      </c>
      <c r="F106" s="543" t="n">
        <v>878.77373</v>
      </c>
      <c r="G106" s="547" t="n">
        <f aca="false">D106*E106/F106</f>
        <v>1.45065185695947</v>
      </c>
      <c r="H106" s="0" t="str">
        <f aca="false">VLOOKUP(C106,'11.Region'!$B$22:$E$243,4,FALSE())</f>
        <v>Asia</v>
      </c>
      <c r="I106" s="548" t="n">
        <f aca="false">G106</f>
        <v>1.45065185695947</v>
      </c>
    </row>
    <row r="107" customFormat="false" ht="15" hidden="false" customHeight="false" outlineLevel="0" collapsed="false">
      <c r="C107" s="546" t="s">
        <v>423</v>
      </c>
      <c r="D107" s="543" t="n">
        <v>1.12949</v>
      </c>
      <c r="E107" s="543" t="n">
        <v>7.79206</v>
      </c>
      <c r="F107" s="543" t="n">
        <v>5.84977495286962</v>
      </c>
      <c r="G107" s="547" t="n">
        <f aca="false">D107*E107/F107</f>
        <v>1.50451152741912</v>
      </c>
      <c r="H107" s="0" t="str">
        <f aca="false">VLOOKUP(C107,'11.Region'!$B$22:$E$243,4,FALSE())</f>
        <v>Asia</v>
      </c>
      <c r="I107" s="548" t="n">
        <f aca="false">G107</f>
        <v>1.50451152741912</v>
      </c>
    </row>
    <row r="108" customFormat="false" ht="15" hidden="false" customHeight="false" outlineLevel="0" collapsed="false">
      <c r="C108" s="546" t="s">
        <v>355</v>
      </c>
      <c r="D108" s="543" t="n">
        <v>1.12949</v>
      </c>
      <c r="E108" s="543" t="n">
        <f aca="false">1/1.12949</f>
        <v>0.885355337364651</v>
      </c>
      <c r="F108" s="543" t="n">
        <v>0.648986049082789</v>
      </c>
      <c r="G108" s="547" t="n">
        <f aca="false">D108*E108/F108</f>
        <v>1.54086517177572</v>
      </c>
      <c r="H108" s="0" t="str">
        <f aca="false">VLOOKUP(C108,'11.Region'!$B$22:$E$243,4,FALSE())</f>
        <v>Asia</v>
      </c>
      <c r="I108" s="548" t="n">
        <f aca="false">G108</f>
        <v>1.54086517177572</v>
      </c>
    </row>
    <row r="109" customFormat="false" ht="15" hidden="false" customHeight="false" outlineLevel="0" collapsed="false">
      <c r="C109" s="546" t="s">
        <v>495</v>
      </c>
      <c r="D109" s="543" t="n">
        <v>1.12949</v>
      </c>
      <c r="E109" s="543" t="n">
        <v>7.85523</v>
      </c>
      <c r="F109" s="543" t="n">
        <v>5.63957978148747</v>
      </c>
      <c r="G109" s="547" t="n">
        <f aca="false">D109*E109/F109</f>
        <v>1.57323844620917</v>
      </c>
      <c r="H109" s="0" t="str">
        <f aca="false">VLOOKUP(C109,'11.Region'!$B$22:$E$243,4,FALSE())</f>
        <v>Asia</v>
      </c>
      <c r="I109" s="548" t="n">
        <f aca="false">G109</f>
        <v>1.57323844620917</v>
      </c>
    </row>
    <row r="110" customFormat="false" ht="15" hidden="false" customHeight="false" outlineLevel="0" collapsed="false">
      <c r="C110" s="546" t="s">
        <v>507</v>
      </c>
      <c r="D110" s="543" t="n">
        <v>1.12949</v>
      </c>
      <c r="E110" s="543" t="n">
        <v>15.22988</v>
      </c>
      <c r="F110" s="543" t="n">
        <v>9.71242807945734</v>
      </c>
      <c r="G110" s="547" t="n">
        <f aca="false">D110*E110/F110</f>
        <v>1.77113251397802</v>
      </c>
      <c r="H110" s="0" t="str">
        <f aca="false">VLOOKUP(C110,'11.Region'!$B$22:$E$243,4,FALSE())</f>
        <v>Asia</v>
      </c>
      <c r="I110" s="548" t="n">
        <f aca="false">G110</f>
        <v>1.77113251397802</v>
      </c>
    </row>
    <row r="111" customFormat="false" ht="15" hidden="false" customHeight="false" outlineLevel="0" collapsed="false">
      <c r="C111" s="546" t="s">
        <v>599</v>
      </c>
      <c r="D111" s="543" t="n">
        <v>1.12949</v>
      </c>
      <c r="E111" s="543" t="n">
        <v>1.38069</v>
      </c>
      <c r="F111" s="543" t="n">
        <v>0.848701477342586</v>
      </c>
      <c r="G111" s="547" t="n">
        <f aca="false">D111*E111/F111</f>
        <v>1.83748419171245</v>
      </c>
      <c r="H111" s="0" t="str">
        <f aca="false">VLOOKUP(C111,'11.Region'!$B$22:$E$243,4,FALSE())</f>
        <v>Asia</v>
      </c>
      <c r="I111" s="548" t="n">
        <f aca="false">G111</f>
        <v>1.83748419171245</v>
      </c>
    </row>
    <row r="112" customFormat="false" ht="15" hidden="false" customHeight="false" outlineLevel="0" collapsed="false">
      <c r="C112" s="546" t="s">
        <v>475</v>
      </c>
      <c r="D112" s="543" t="n">
        <v>1.12949</v>
      </c>
      <c r="E112" s="543" t="n">
        <v>1485.82845</v>
      </c>
      <c r="F112" s="543" t="n">
        <v>875.569899206042</v>
      </c>
      <c r="G112" s="547" t="n">
        <f aca="false">D112*E112/F112</f>
        <v>1.91672689697567</v>
      </c>
      <c r="H112" s="0" t="str">
        <f aca="false">VLOOKUP(C112,'11.Region'!$B$22:$E$243,4,FALSE())</f>
        <v>Asia</v>
      </c>
      <c r="I112" s="548" t="n">
        <f aca="false">G112</f>
        <v>1.91672689697567</v>
      </c>
    </row>
    <row r="113" customFormat="false" ht="15" hidden="false" customHeight="false" outlineLevel="0" collapsed="false">
      <c r="C113" s="546" t="s">
        <v>270</v>
      </c>
      <c r="D113" s="543" t="n">
        <v>1.12949</v>
      </c>
      <c r="E113" s="543" t="n">
        <v>3.67215</v>
      </c>
      <c r="F113" s="543" t="n">
        <v>2.02314055652801</v>
      </c>
      <c r="G113" s="547" t="n">
        <f aca="false">D113*E113/F113</f>
        <v>2.05010803135594</v>
      </c>
      <c r="H113" s="0" t="str">
        <f aca="false">VLOOKUP(C113,'11.Region'!$B$22:$E$243,4,FALSE())</f>
        <v>Asia</v>
      </c>
      <c r="I113" s="548" t="n">
        <f aca="false">G113</f>
        <v>2.05010803135594</v>
      </c>
    </row>
    <row r="114" customFormat="false" ht="15" hidden="false" customHeight="false" outlineLevel="0" collapsed="false">
      <c r="C114" s="546" t="s">
        <v>331</v>
      </c>
      <c r="D114" s="543" t="n">
        <v>1.12949</v>
      </c>
      <c r="E114" s="543" t="n">
        <v>6.75821</v>
      </c>
      <c r="F114" s="543" t="n">
        <v>3.54975926880731</v>
      </c>
      <c r="G114" s="547" t="n">
        <f aca="false">D114*E114/F114</f>
        <v>2.15037979616706</v>
      </c>
      <c r="H114" s="0" t="str">
        <f aca="false">VLOOKUP(C114,'11.Region'!$B$22:$E$243,4,FALSE())</f>
        <v>Asia</v>
      </c>
      <c r="I114" s="548" t="n">
        <f aca="false">G114</f>
        <v>2.15037979616706</v>
      </c>
    </row>
    <row r="115" customFormat="false" ht="15" hidden="false" customHeight="false" outlineLevel="0" collapsed="false">
      <c r="C115" s="546" t="s">
        <v>299</v>
      </c>
      <c r="D115" s="543" t="n">
        <v>1.12949</v>
      </c>
      <c r="E115" s="543" t="n">
        <v>0.37405</v>
      </c>
      <c r="F115" s="543" t="n">
        <v>0.18714228331906</v>
      </c>
      <c r="G115" s="547" t="n">
        <f aca="false">D115*E115/F115</f>
        <v>2.25756428214409</v>
      </c>
      <c r="H115" s="0" t="str">
        <f aca="false">VLOOKUP(C115,'11.Region'!$B$22:$E$243,4,FALSE())</f>
        <v>Asia</v>
      </c>
      <c r="I115" s="548" t="n">
        <f aca="false">G115</f>
        <v>2.25756428214409</v>
      </c>
    </row>
    <row r="116" customFormat="false" ht="15" hidden="false" customHeight="false" outlineLevel="0" collapsed="false">
      <c r="C116" s="546" t="s">
        <v>585</v>
      </c>
      <c r="D116" s="543" t="n">
        <v>1.12949</v>
      </c>
      <c r="E116" s="543" t="n">
        <v>3.62749</v>
      </c>
      <c r="F116" s="543" t="n">
        <v>1.80062463601717</v>
      </c>
      <c r="G116" s="547" t="n">
        <f aca="false">D116*E116/F116</f>
        <v>2.27544019899822</v>
      </c>
      <c r="H116" s="0" t="str">
        <f aca="false">VLOOKUP(C116,'11.Region'!$B$22:$E$243,4,FALSE())</f>
        <v>Asia</v>
      </c>
      <c r="I116" s="548" t="n">
        <f aca="false">G116</f>
        <v>2.27544019899822</v>
      </c>
    </row>
    <row r="117" customFormat="false" ht="15" hidden="false" customHeight="false" outlineLevel="0" collapsed="false">
      <c r="C117" s="546" t="s">
        <v>453</v>
      </c>
      <c r="D117" s="543" t="n">
        <v>1.12949</v>
      </c>
      <c r="E117" s="543" t="n">
        <v>0.70691</v>
      </c>
      <c r="F117" s="543" t="n">
        <v>0.320333310891471</v>
      </c>
      <c r="G117" s="547" t="n">
        <f aca="false">D117*E117/F117</f>
        <v>2.49255306504953</v>
      </c>
      <c r="H117" s="0" t="str">
        <f aca="false">VLOOKUP(C117,'11.Region'!$B$22:$E$243,4,FALSE())</f>
        <v>Asia</v>
      </c>
      <c r="I117" s="548" t="n">
        <f aca="false">G117</f>
        <v>2.49255306504953</v>
      </c>
    </row>
    <row r="118" customFormat="false" ht="15" hidden="false" customHeight="false" outlineLevel="0" collapsed="false">
      <c r="C118" s="546" t="s">
        <v>274</v>
      </c>
      <c r="D118" s="543" t="n">
        <v>1.12949</v>
      </c>
      <c r="E118" s="543" t="n">
        <v>466.05248</v>
      </c>
      <c r="F118" s="543" t="n">
        <v>196.97951259923</v>
      </c>
      <c r="G118" s="547" t="n">
        <f aca="false">D118*E118/F118</f>
        <v>2.67236733754238</v>
      </c>
      <c r="H118" s="0" t="str">
        <f aca="false">VLOOKUP(C118,'11.Region'!$B$22:$E$243,4,FALSE())</f>
        <v>Asia</v>
      </c>
      <c r="I118" s="548" t="n">
        <f aca="false">G118</f>
        <v>2.67236733754238</v>
      </c>
    </row>
    <row r="119" customFormat="false" ht="15" hidden="false" customHeight="false" outlineLevel="0" collapsed="false">
      <c r="C119" s="546" t="s">
        <v>643</v>
      </c>
      <c r="D119" s="543" t="n">
        <v>1.12949</v>
      </c>
      <c r="E119" s="543" t="n">
        <v>3.41141</v>
      </c>
      <c r="F119" s="543" t="n">
        <v>1.43087554470926</v>
      </c>
      <c r="G119" s="547" t="n">
        <f aca="false">D119*E119/F119</f>
        <v>2.69286416638208</v>
      </c>
      <c r="H119" s="0" t="str">
        <f aca="false">VLOOKUP(C119,'11.Region'!$B$22:$E$243,4,FALSE())</f>
        <v>Asia</v>
      </c>
      <c r="I119" s="548" t="n">
        <f aca="false">G119</f>
        <v>2.69286416638208</v>
      </c>
    </row>
    <row r="120" customFormat="false" ht="15" hidden="false" customHeight="false" outlineLevel="0" collapsed="false">
      <c r="C120" s="546" t="s">
        <v>471</v>
      </c>
      <c r="D120" s="543" t="n">
        <v>1.12949</v>
      </c>
      <c r="E120" s="543" t="n">
        <v>0.30281</v>
      </c>
      <c r="F120" s="543" t="n">
        <v>0.122429440333495</v>
      </c>
      <c r="G120" s="547" t="n">
        <f aca="false">D120*E120/F120</f>
        <v>2.79361619205596</v>
      </c>
      <c r="H120" s="0" t="str">
        <f aca="false">VLOOKUP(C120,'11.Region'!$B$22:$E$243,4,FALSE())</f>
        <v>Asia</v>
      </c>
      <c r="I120" s="548" t="n">
        <f aca="false">G120</f>
        <v>2.79361619205596</v>
      </c>
    </row>
    <row r="121" customFormat="false" ht="15" hidden="false" customHeight="false" outlineLevel="0" collapsed="false">
      <c r="C121" s="546" t="s">
        <v>295</v>
      </c>
      <c r="D121" s="543" t="n">
        <v>1.12949</v>
      </c>
      <c r="E121" s="543" t="n">
        <v>79.9389</v>
      </c>
      <c r="F121" s="543" t="n">
        <v>31.0137123469418</v>
      </c>
      <c r="G121" s="547" t="n">
        <f aca="false">D121*E121/F121</f>
        <v>2.91129894902451</v>
      </c>
      <c r="H121" s="0" t="str">
        <f aca="false">VLOOKUP(C121,'11.Region'!$B$22:$E$243,4,FALSE())</f>
        <v>Asia</v>
      </c>
      <c r="I121" s="548" t="n">
        <f aca="false">G121</f>
        <v>2.91129894902451</v>
      </c>
    </row>
    <row r="122" customFormat="false" ht="15" hidden="false" customHeight="false" outlineLevel="0" collapsed="false">
      <c r="C122" s="546" t="s">
        <v>593</v>
      </c>
      <c r="D122" s="543" t="n">
        <v>1.12949</v>
      </c>
      <c r="E122" s="543" t="n">
        <v>3.74786</v>
      </c>
      <c r="F122" s="543" t="n">
        <v>1.44588687728558</v>
      </c>
      <c r="G122" s="547" t="n">
        <f aca="false">D122*E122/F122</f>
        <v>2.92773276934852</v>
      </c>
      <c r="H122" s="0" t="str">
        <f aca="false">VLOOKUP(C122,'11.Region'!$B$22:$E$243,4,FALSE())</f>
        <v>Asia</v>
      </c>
      <c r="I122" s="548" t="n">
        <f aca="false">G122</f>
        <v>2.92773276934852</v>
      </c>
    </row>
    <row r="123" customFormat="false" ht="15" hidden="false" customHeight="false" outlineLevel="0" collapsed="false">
      <c r="C123" s="546" t="s">
        <v>397</v>
      </c>
      <c r="D123" s="543" t="n">
        <v>1.12949</v>
      </c>
      <c r="E123" s="543" t="n">
        <v>2.49198</v>
      </c>
      <c r="F123" s="543" t="n">
        <v>0.956602102936769</v>
      </c>
      <c r="G123" s="547" t="n">
        <f aca="false">D123*E123/F123</f>
        <v>2.94235866883313</v>
      </c>
      <c r="H123" s="0" t="str">
        <f aca="false">VLOOKUP(C123,'11.Region'!$B$22:$E$243,4,FALSE())</f>
        <v>Asia</v>
      </c>
      <c r="I123" s="548" t="n">
        <f aca="false">G123</f>
        <v>2.94235866883313</v>
      </c>
    </row>
    <row r="124" customFormat="false" ht="15" hidden="false" customHeight="false" outlineLevel="0" collapsed="false">
      <c r="C124" s="546" t="s">
        <v>653</v>
      </c>
      <c r="D124" s="543" t="n">
        <v>1.12949</v>
      </c>
      <c r="E124" s="543" t="n">
        <v>3.64328</v>
      </c>
      <c r="F124" s="543" t="n">
        <v>1.37744</v>
      </c>
      <c r="G124" s="547" t="n">
        <f aca="false">D124*E124/F124</f>
        <v>2.98746103438262</v>
      </c>
      <c r="H124" s="0" t="str">
        <f aca="false">VLOOKUP(C124,'11.Region'!$B$22:$E$243,4,FALSE())</f>
        <v>Asia</v>
      </c>
      <c r="I124" s="548" t="n">
        <f aca="false">G124</f>
        <v>2.98746103438262</v>
      </c>
    </row>
    <row r="125" customFormat="false" ht="15" hidden="false" customHeight="false" outlineLevel="0" collapsed="false">
      <c r="C125" s="546" t="s">
        <v>557</v>
      </c>
      <c r="D125" s="543" t="n">
        <v>1.12949</v>
      </c>
      <c r="E125" s="543" t="n">
        <v>0.38382</v>
      </c>
      <c r="F125" s="543" t="n">
        <v>0.144557583109135</v>
      </c>
      <c r="G125" s="547" t="n">
        <f aca="false">D125*E125/F125</f>
        <v>2.99894922477162</v>
      </c>
      <c r="H125" s="0" t="str">
        <f aca="false">VLOOKUP(C125,'11.Region'!$B$22:$E$243,4,FALSE())</f>
        <v>Asia</v>
      </c>
      <c r="I125" s="548" t="n">
        <f aca="false">G125</f>
        <v>2.99894922477162</v>
      </c>
    </row>
    <row r="126" customFormat="false" ht="15" hidden="false" customHeight="false" outlineLevel="0" collapsed="false">
      <c r="C126" s="546" t="s">
        <v>639</v>
      </c>
      <c r="D126" s="543" t="n">
        <v>1.12949</v>
      </c>
      <c r="E126" s="543" t="n">
        <v>33.86704</v>
      </c>
      <c r="F126" s="543" t="n">
        <v>12.5230239086361</v>
      </c>
      <c r="G126" s="547" t="n">
        <f aca="false">D126*E126/F126</f>
        <v>3.0545723851266</v>
      </c>
      <c r="H126" s="0" t="str">
        <f aca="false">VLOOKUP(C126,'11.Region'!$B$22:$E$243,4,FALSE())</f>
        <v>Asia</v>
      </c>
      <c r="I126" s="548" t="n">
        <f aca="false">G126</f>
        <v>3.0545723851266</v>
      </c>
    </row>
    <row r="127" customFormat="false" ht="15" hidden="false" customHeight="false" outlineLevel="0" collapsed="false">
      <c r="C127" s="546" t="s">
        <v>317</v>
      </c>
      <c r="D127" s="543" t="n">
        <v>1.12949</v>
      </c>
      <c r="E127" s="543" t="n">
        <v>1.36779</v>
      </c>
      <c r="F127" s="543" t="n">
        <v>0.495540201325653</v>
      </c>
      <c r="G127" s="547" t="n">
        <f aca="false">D127*E127/F127</f>
        <v>3.11761815281005</v>
      </c>
      <c r="H127" s="0" t="str">
        <f aca="false">VLOOKUP(C127,'11.Region'!$B$22:$E$243,4,FALSE())</f>
        <v>Asia</v>
      </c>
      <c r="I127" s="548" t="n">
        <f aca="false">G127</f>
        <v>3.11761815281005</v>
      </c>
    </row>
    <row r="128" customFormat="false" ht="15" hidden="false" customHeight="false" outlineLevel="0" collapsed="false">
      <c r="C128" s="546" t="s">
        <v>473</v>
      </c>
      <c r="D128" s="543" t="n">
        <v>1.12949</v>
      </c>
      <c r="E128" s="543" t="n">
        <v>8103.40882</v>
      </c>
      <c r="F128" s="543" t="n">
        <v>2922.07967169755</v>
      </c>
      <c r="G128" s="547" t="n">
        <f aca="false">D128*E128/F128</f>
        <v>3.13226203814786</v>
      </c>
      <c r="H128" s="0" t="str">
        <f aca="false">VLOOKUP(C128,'11.Region'!$B$22:$E$243,4,FALSE())</f>
        <v>Asia</v>
      </c>
      <c r="I128" s="548" t="n">
        <f aca="false">G128</f>
        <v>3.13226203814786</v>
      </c>
    </row>
    <row r="129" customFormat="false" ht="15" hidden="false" customHeight="false" outlineLevel="0" collapsed="false">
      <c r="C129" s="546" t="s">
        <v>565</v>
      </c>
      <c r="D129" s="543" t="n">
        <v>1.12949</v>
      </c>
      <c r="E129" s="543" t="n">
        <v>50.32458</v>
      </c>
      <c r="F129" s="543" t="n">
        <v>18.0579894621743</v>
      </c>
      <c r="G129" s="547" t="n">
        <f aca="false">D129*E129/F129</f>
        <v>3.14769869498838</v>
      </c>
      <c r="H129" s="0" t="str">
        <f aca="false">VLOOKUP(C129,'11.Region'!$B$22:$E$243,4,FALSE())</f>
        <v>Asia</v>
      </c>
      <c r="I129" s="548" t="n">
        <f aca="false">G129</f>
        <v>3.14769869498838</v>
      </c>
    </row>
    <row r="130" customFormat="false" ht="15" hidden="false" customHeight="false" outlineLevel="0" collapsed="false">
      <c r="C130" s="546" t="s">
        <v>463</v>
      </c>
      <c r="D130" s="543" t="n">
        <v>1.12949</v>
      </c>
      <c r="E130" s="543" t="n">
        <v>3982.28455</v>
      </c>
      <c r="F130" s="543" t="n">
        <v>1401.31376937768</v>
      </c>
      <c r="G130" s="547" t="n">
        <f aca="false">D130*E130/F130</f>
        <v>3.20980973331692</v>
      </c>
      <c r="H130" s="0" t="str">
        <f aca="false">VLOOKUP(C130,'11.Region'!$B$22:$E$243,4,FALSE())</f>
        <v>Asia</v>
      </c>
      <c r="I130" s="548" t="n">
        <f aca="false">G130</f>
        <v>3.20980973331692</v>
      </c>
    </row>
    <row r="131" customFormat="false" ht="15" hidden="false" customHeight="false" outlineLevel="0" collapsed="false">
      <c r="C131" s="546" t="s">
        <v>677</v>
      </c>
      <c r="D131" s="543" t="n">
        <v>1.12949</v>
      </c>
      <c r="E131" s="543" t="n">
        <v>22456.29963</v>
      </c>
      <c r="F131" s="543" t="n">
        <v>7735.71397952574</v>
      </c>
      <c r="G131" s="547" t="n">
        <f aca="false">D131*E131/F131</f>
        <v>3.27883966964401</v>
      </c>
      <c r="H131" s="0" t="str">
        <f aca="false">VLOOKUP(C131,'11.Region'!$B$22:$E$243,4,FALSE())</f>
        <v>Asia</v>
      </c>
      <c r="I131" s="548" t="n">
        <f aca="false">G131</f>
        <v>3.27883966964401</v>
      </c>
    </row>
    <row r="132" customFormat="false" ht="15" hidden="false" customHeight="false" outlineLevel="0" collapsed="false">
      <c r="C132" s="546" t="s">
        <v>319</v>
      </c>
      <c r="D132" s="543" t="n">
        <v>1.12949</v>
      </c>
      <c r="E132" s="543" t="n">
        <v>65.08933</v>
      </c>
      <c r="F132" s="543" t="n">
        <v>22.1211836656578</v>
      </c>
      <c r="G132" s="547" t="n">
        <f aca="false">D132*E132/F132</f>
        <v>3.32340929187407</v>
      </c>
      <c r="H132" s="0" t="str">
        <f aca="false">VLOOKUP(C132,'11.Region'!$B$22:$E$243,4,FALSE())</f>
        <v>Asia</v>
      </c>
      <c r="I132" s="548" t="n">
        <f aca="false">G132</f>
        <v>3.32340929187407</v>
      </c>
    </row>
    <row r="133" customFormat="false" ht="15" hidden="false" customHeight="false" outlineLevel="0" collapsed="false">
      <c r="C133" s="546" t="s">
        <v>535</v>
      </c>
      <c r="D133" s="543" t="n">
        <v>1.12949</v>
      </c>
      <c r="E133" s="543" t="n">
        <v>4.29819</v>
      </c>
      <c r="F133" s="543" t="n">
        <v>1.45310673411807</v>
      </c>
      <c r="G133" s="547" t="n">
        <f aca="false">D133*E133/F133</f>
        <v>3.34095390869308</v>
      </c>
      <c r="H133" s="0" t="str">
        <f aca="false">VLOOKUP(C133,'11.Region'!$B$22:$E$243,4,FALSE())</f>
        <v>Asia</v>
      </c>
      <c r="I133" s="548" t="n">
        <f aca="false">G133</f>
        <v>3.34095390869308</v>
      </c>
    </row>
    <row r="134" customFormat="false" ht="15" hidden="false" customHeight="false" outlineLevel="0" collapsed="false">
      <c r="C134" s="546" t="s">
        <v>457</v>
      </c>
      <c r="D134" s="543" t="n">
        <v>1.12949</v>
      </c>
      <c r="E134" s="543" t="n">
        <v>324.40776</v>
      </c>
      <c r="F134" s="543" t="n">
        <v>109.090116267495</v>
      </c>
      <c r="G134" s="547" t="n">
        <f aca="false">D134*E134/F134</f>
        <v>3.35883151819116</v>
      </c>
      <c r="H134" s="0" t="str">
        <f aca="false">VLOOKUP(C134,'11.Region'!$B$22:$E$243,4,FALSE())</f>
        <v>Asia</v>
      </c>
      <c r="I134" s="548" t="n">
        <f aca="false">G134</f>
        <v>3.35883151819116</v>
      </c>
    </row>
    <row r="135" customFormat="false" ht="15" hidden="false" customHeight="false" outlineLevel="0" collapsed="false">
      <c r="C135" s="546" t="s">
        <v>461</v>
      </c>
      <c r="D135" s="543" t="n">
        <v>1.12949</v>
      </c>
      <c r="E135" s="543" t="n">
        <v>68.86368</v>
      </c>
      <c r="F135" s="543" t="n">
        <v>22.5484718277065</v>
      </c>
      <c r="G135" s="547" t="n">
        <f aca="false">D135*E135/F135</f>
        <v>3.44949487120571</v>
      </c>
      <c r="H135" s="0" t="str">
        <f aca="false">VLOOKUP(C135,'11.Region'!$B$22:$E$243,4,FALSE())</f>
        <v>Asia</v>
      </c>
      <c r="I135" s="548" t="n">
        <f aca="false">G135</f>
        <v>3.44949487120571</v>
      </c>
    </row>
    <row r="136" customFormat="false" ht="15" hidden="false" customHeight="false" outlineLevel="0" collapsed="false">
      <c r="C136" s="546" t="s">
        <v>551</v>
      </c>
      <c r="D136" s="543" t="n">
        <v>1.12949</v>
      </c>
      <c r="E136" s="543" t="n">
        <v>102.71526</v>
      </c>
      <c r="F136" s="543" t="n">
        <v>33.0727378505397</v>
      </c>
      <c r="G136" s="547" t="n">
        <f aca="false">D136*E136/F136</f>
        <v>3.5079000577966</v>
      </c>
      <c r="H136" s="0" t="str">
        <f aca="false">VLOOKUP(C136,'11.Region'!$B$22:$E$243,4,FALSE())</f>
        <v>Asia</v>
      </c>
      <c r="I136" s="548" t="n">
        <f aca="false">G136</f>
        <v>3.5079000577966</v>
      </c>
    </row>
    <row r="137" customFormat="false" ht="15" hidden="false" customHeight="false" outlineLevel="0" collapsed="false">
      <c r="C137" s="546" t="s">
        <v>485</v>
      </c>
      <c r="D137" s="543" t="n">
        <v>1.12949</v>
      </c>
      <c r="E137" s="543" t="n">
        <v>150.55943</v>
      </c>
      <c r="F137" s="543" t="n">
        <v>48.3749334212568</v>
      </c>
      <c r="G137" s="547" t="n">
        <f aca="false">D137*E137/F137</f>
        <v>3.51536133620754</v>
      </c>
      <c r="H137" s="0" t="str">
        <f aca="false">VLOOKUP(C137,'11.Region'!$B$22:$E$243,4,FALSE())</f>
        <v>Asia</v>
      </c>
      <c r="I137" s="548" t="n">
        <f aca="false">G137</f>
        <v>3.51536133620754</v>
      </c>
    </row>
    <row r="138" customFormat="false" ht="15" hidden="false" customHeight="false" outlineLevel="0" collapsed="false">
      <c r="C138" s="546" t="s">
        <v>645</v>
      </c>
      <c r="D138" s="543" t="n">
        <v>1.12949</v>
      </c>
      <c r="E138" s="543" t="n">
        <v>1</v>
      </c>
      <c r="F138" s="543" t="n">
        <v>0.315991655157823</v>
      </c>
      <c r="G138" s="547" t="n">
        <f aca="false">D138*E138/F138</f>
        <v>3.57442983561029</v>
      </c>
      <c r="H138" s="0" t="str">
        <f aca="false">VLOOKUP(C138,'11.Region'!$B$22:$E$243,4,FALSE())</f>
        <v>Asia</v>
      </c>
      <c r="I138" s="548" t="n">
        <f aca="false">G138</f>
        <v>3.57442983561029</v>
      </c>
    </row>
    <row r="139" customFormat="false" ht="15" hidden="false" customHeight="false" outlineLevel="0" collapsed="false">
      <c r="C139" s="546" t="s">
        <v>433</v>
      </c>
      <c r="D139" s="543" t="n">
        <v>1.12949</v>
      </c>
      <c r="E139" s="543" t="n">
        <v>13337.40336</v>
      </c>
      <c r="F139" s="543" t="n">
        <v>4190.49247026961</v>
      </c>
      <c r="G139" s="547" t="n">
        <f aca="false">D139*E139/F139</f>
        <v>3.59491487646491</v>
      </c>
      <c r="H139" s="0" t="str">
        <f aca="false">VLOOKUP(C139,'11.Region'!$B$22:$E$243,4,FALSE())</f>
        <v>Asia</v>
      </c>
      <c r="I139" s="548" t="n">
        <f aca="false">G139</f>
        <v>3.59491487646491</v>
      </c>
    </row>
    <row r="140" customFormat="false" ht="15" hidden="false" customHeight="false" outlineLevel="0" collapsed="false">
      <c r="C140" s="546" t="s">
        <v>443</v>
      </c>
      <c r="D140" s="543" t="n">
        <v>1.12949</v>
      </c>
      <c r="E140" s="543" t="n">
        <v>1155.55961</v>
      </c>
      <c r="F140" s="543" t="n">
        <v>355.059131057793</v>
      </c>
      <c r="G140" s="547" t="n">
        <f aca="false">D140*E140/F140</f>
        <v>3.67598777141843</v>
      </c>
      <c r="H140" s="0" t="str">
        <f aca="false">VLOOKUP(C140,'11.Region'!$B$22:$E$243,4,FALSE())</f>
        <v>Asia</v>
      </c>
      <c r="I140" s="548" t="n">
        <f aca="false">G140</f>
        <v>3.67598777141843</v>
      </c>
    </row>
    <row r="141" customFormat="false" ht="15" hidden="false" customHeight="false" outlineLevel="0" collapsed="false">
      <c r="C141" s="546" t="s">
        <v>259</v>
      </c>
      <c r="D141" s="543" t="n">
        <v>1.12949</v>
      </c>
      <c r="E141" s="543" t="n">
        <v>67.55338</v>
      </c>
      <c r="F141" s="543" t="n">
        <v>20.2050508246696</v>
      </c>
      <c r="G141" s="547" t="n">
        <f aca="false">D141*E141/F141</f>
        <v>3.77632641651362</v>
      </c>
      <c r="H141" s="0" t="str">
        <f aca="false">VLOOKUP(C141,'11.Region'!$B$22:$E$243,4,FALSE())</f>
        <v>Asia</v>
      </c>
      <c r="I141" s="548" t="n">
        <f aca="false">G141</f>
        <v>3.77632641651362</v>
      </c>
    </row>
    <row r="142" customFormat="false" ht="15" hidden="false" customHeight="false" outlineLevel="0" collapsed="false">
      <c r="C142" s="546" t="s">
        <v>523</v>
      </c>
      <c r="D142" s="543" t="n">
        <v>1.12949</v>
      </c>
      <c r="E142" s="543" t="n">
        <v>2431.0015</v>
      </c>
      <c r="F142" s="543" t="n">
        <v>701.023002040352</v>
      </c>
      <c r="G142" s="547" t="n">
        <f aca="false">D142*E142/F142</f>
        <v>3.91683564767957</v>
      </c>
      <c r="H142" s="0" t="str">
        <f aca="false">VLOOKUP(C142,'11.Region'!$B$22:$E$243,4,FALSE())</f>
        <v>Asia</v>
      </c>
      <c r="I142" s="548" t="n">
        <f aca="false">G142</f>
        <v>3.91683564767957</v>
      </c>
    </row>
    <row r="143" customFormat="false" ht="15" hidden="false" customHeight="false" outlineLevel="0" collapsed="false">
      <c r="C143" s="546" t="s">
        <v>559</v>
      </c>
      <c r="D143" s="543" t="n">
        <v>1.12949</v>
      </c>
      <c r="E143" s="543" t="n">
        <v>104.36447</v>
      </c>
      <c r="F143" s="543" t="n">
        <v>29.3509185684774</v>
      </c>
      <c r="G143" s="547" t="n">
        <f aca="false">D143*E143/F143</f>
        <v>4.01618180859595</v>
      </c>
      <c r="H143" s="0" t="str">
        <f aca="false">VLOOKUP(C143,'11.Region'!$B$22:$E$243,4,FALSE())</f>
        <v>Asia</v>
      </c>
      <c r="I143" s="548" t="n">
        <f aca="false">G143</f>
        <v>4.01618180859595</v>
      </c>
    </row>
    <row r="144" customFormat="false" ht="15" hidden="false" customHeight="false" outlineLevel="0" collapsed="false">
      <c r="C144" s="546" t="s">
        <v>437</v>
      </c>
      <c r="D144" s="543" t="n">
        <v>1.12949</v>
      </c>
      <c r="E144" s="543" t="n">
        <v>65.04837</v>
      </c>
      <c r="F144" s="543" t="n">
        <v>17.7291702330434</v>
      </c>
      <c r="G144" s="547" t="n">
        <f aca="false">D144*E144/F144</f>
        <v>4.14410163958857</v>
      </c>
      <c r="H144" s="0" t="str">
        <f aca="false">VLOOKUP(C144,'11.Region'!$B$22:$E$243,4,FALSE())</f>
        <v>Asia</v>
      </c>
      <c r="I144" s="548" t="n">
        <f aca="false">G144</f>
        <v>4.14410163958857</v>
      </c>
    </row>
    <row r="145" customFormat="false" ht="15" hidden="false" customHeight="false" outlineLevel="0" collapsed="false">
      <c r="C145" s="546" t="s">
        <v>441</v>
      </c>
      <c r="D145" s="543" t="n">
        <v>1.12949</v>
      </c>
      <c r="E145" s="543" t="n">
        <v>32929.17725</v>
      </c>
      <c r="F145" s="543" t="n">
        <v>8720.1654729432</v>
      </c>
      <c r="G145" s="547" t="n">
        <f aca="false">D145*E145/F145</f>
        <v>4.2651915869607</v>
      </c>
      <c r="H145" s="0" t="str">
        <f aca="false">VLOOKUP(C145,'11.Region'!$B$22:$E$243,4,FALSE())</f>
        <v>Asia</v>
      </c>
      <c r="I145" s="548" t="n">
        <f aca="false">G145</f>
        <v>4.2651915869607</v>
      </c>
    </row>
    <row r="146" customFormat="false" ht="15" hidden="false" customHeight="false" outlineLevel="0" collapsed="false">
      <c r="C146" s="546" t="s">
        <v>641</v>
      </c>
      <c r="D146" s="543" t="n">
        <v>1.12949</v>
      </c>
      <c r="E146" s="543" t="n">
        <v>8.49174</v>
      </c>
      <c r="F146" s="543" t="n">
        <v>2.15320399243974</v>
      </c>
      <c r="G146" s="547" t="n">
        <f aca="false">D146*E146/F146</f>
        <v>4.45444809050921</v>
      </c>
      <c r="H146" s="0" t="str">
        <f aca="false">VLOOKUP(C146,'11.Region'!$B$22:$E$243,4,FALSE())</f>
        <v>Asia</v>
      </c>
      <c r="I146" s="548" t="n">
        <f aca="false">G146</f>
        <v>4.45444809050921</v>
      </c>
    </row>
    <row r="147" customFormat="false" ht="15" hidden="false" customHeight="false" outlineLevel="0" collapsed="false">
      <c r="C147" s="546" t="s">
        <v>285</v>
      </c>
      <c r="D147" s="543" t="n">
        <v>1.12949</v>
      </c>
      <c r="E147" s="543" t="n">
        <v>1.71207</v>
      </c>
      <c r="F147" s="543" t="n">
        <v>0.408740923102119</v>
      </c>
      <c r="G147" s="547" t="n">
        <f aca="false">D147*E147/F147</f>
        <v>4.73103091714864</v>
      </c>
      <c r="H147" s="0" t="str">
        <f aca="false">VLOOKUP(C147,'11.Region'!$B$22:$E$243,4,FALSE())</f>
        <v>Asia</v>
      </c>
      <c r="I147" s="548" t="n">
        <f aca="false">G147</f>
        <v>4.73103091714864</v>
      </c>
    </row>
    <row r="148" customFormat="false" ht="15" hidden="false" customHeight="false" outlineLevel="0" collapsed="false">
      <c r="C148" s="546" t="s">
        <v>667</v>
      </c>
      <c r="D148" s="543" t="n">
        <v>1.12949</v>
      </c>
      <c r="E148" s="543" t="n">
        <v>5070.34508</v>
      </c>
      <c r="F148" s="543" t="n">
        <v>1120.52942618577</v>
      </c>
      <c r="G148" s="547" t="n">
        <f aca="false">D148*E148/F148</f>
        <v>5.11089127208673</v>
      </c>
      <c r="H148" s="0" t="str">
        <f aca="false">VLOOKUP(C148,'11.Region'!$B$22:$E$243,4,FALSE())</f>
        <v>Asia</v>
      </c>
      <c r="I148" s="548" t="n">
        <f aca="false">G148</f>
        <v>5.11089127208673</v>
      </c>
    </row>
    <row r="149" customFormat="false" ht="15" hidden="false" customHeight="false" outlineLevel="0" collapsed="false">
      <c r="C149" s="546" t="s">
        <v>519</v>
      </c>
      <c r="D149" s="543" t="n">
        <v>1.12949</v>
      </c>
      <c r="E149" s="543" t="n">
        <v>1342.909</v>
      </c>
      <c r="F149" s="543" t="n">
        <v>285.352660001551</v>
      </c>
      <c r="G149" s="547" t="n">
        <f aca="false">D149*E149/F149</f>
        <v>5.31553582294189</v>
      </c>
      <c r="H149" s="0" t="str">
        <f aca="false">VLOOKUP(C149,'11.Region'!$B$22:$E$243,4,FALSE())</f>
        <v>Asia</v>
      </c>
      <c r="I149" s="548" t="n">
        <f aca="false">G149</f>
        <v>5.31553582294189</v>
      </c>
    </row>
    <row r="150" customFormat="false" ht="15" hidden="false" customHeight="false" outlineLevel="0" collapsed="false">
      <c r="C150" s="546" t="s">
        <v>575</v>
      </c>
      <c r="D150" s="543" t="n">
        <v>1.12949</v>
      </c>
      <c r="G150" s="547" t="e">
        <f aca="false">D150*E150/F150</f>
        <v>#DIV/0!</v>
      </c>
      <c r="H150" s="0" t="str">
        <f aca="false">VLOOKUP(C150,'11.Region'!$B$22:$E$243,4,FALSE())</f>
        <v>Asia</v>
      </c>
      <c r="I150" s="548" t="n">
        <f aca="false">$K$103</f>
        <v>3.00272943672245</v>
      </c>
      <c r="J150" s="0" t="s">
        <v>257</v>
      </c>
    </row>
    <row r="151" customFormat="false" ht="15" hidden="false" customHeight="false" outlineLevel="0" collapsed="false">
      <c r="C151" s="546" t="s">
        <v>631</v>
      </c>
      <c r="D151" s="543" t="n">
        <v>1.12949</v>
      </c>
      <c r="G151" s="547" t="e">
        <f aca="false">D151*E151/F151</f>
        <v>#DIV/0!</v>
      </c>
      <c r="H151" s="0" t="str">
        <f aca="false">VLOOKUP(C151,'11.Region'!$B$22:$E$243,4,FALSE())</f>
        <v>Asia</v>
      </c>
      <c r="I151" s="548" t="n">
        <f aca="false">$K$103</f>
        <v>3.00272943672245</v>
      </c>
      <c r="J151" s="0" t="s">
        <v>257</v>
      </c>
    </row>
    <row r="152" customFormat="false" ht="15" hidden="false" customHeight="false" outlineLevel="0" collapsed="false">
      <c r="C152" s="546" t="s">
        <v>685</v>
      </c>
      <c r="D152" s="543" t="n">
        <v>1.12949</v>
      </c>
      <c r="F152" s="543" t="n">
        <v>0</v>
      </c>
      <c r="G152" s="547" t="e">
        <f aca="false">D152*E152/F152</f>
        <v>#DIV/0!</v>
      </c>
      <c r="H152" s="0" t="str">
        <f aca="false">VLOOKUP(C152,'11.Region'!$B$22:$E$243,4,FALSE())</f>
        <v>Asia</v>
      </c>
      <c r="I152" s="548" t="n">
        <f aca="false">$K$103</f>
        <v>3.00272943672245</v>
      </c>
      <c r="J152" s="0" t="s">
        <v>257</v>
      </c>
    </row>
    <row r="153" customFormat="false" ht="15" hidden="false" customHeight="false" outlineLevel="0" collapsed="false">
      <c r="C153" s="546" t="s">
        <v>549</v>
      </c>
      <c r="D153" s="543" t="n">
        <v>1.12949</v>
      </c>
      <c r="E153" s="543" t="n">
        <v>8.26494</v>
      </c>
      <c r="F153" s="543" t="n">
        <v>10.242149</v>
      </c>
      <c r="G153" s="547" t="n">
        <f aca="false">D153*E153/F153</f>
        <v>0.91144613113908</v>
      </c>
      <c r="H153" s="0" t="str">
        <f aca="false">VLOOKUP(C153,'11.Region'!$B$22:$E$243,4,FALSE())</f>
        <v>Europe</v>
      </c>
      <c r="I153" s="548" t="n">
        <f aca="false">G153</f>
        <v>0.91144613113908</v>
      </c>
      <c r="K153" s="549" t="n">
        <f aca="false">AVERAGE(G153:G193)</f>
        <v>1.93286164519776</v>
      </c>
      <c r="L153" s="550" t="s">
        <v>266</v>
      </c>
    </row>
    <row r="154" customFormat="false" ht="15" hidden="false" customHeight="false" outlineLevel="0" collapsed="false">
      <c r="C154" s="546" t="s">
        <v>571</v>
      </c>
      <c r="D154" s="543" t="n">
        <v>1.12949</v>
      </c>
      <c r="E154" s="543" t="n">
        <v>3.77408</v>
      </c>
      <c r="F154" s="543" t="n">
        <v>1.782042</v>
      </c>
      <c r="G154" s="547" t="n">
        <f aca="false">D154*E154/F154</f>
        <v>2.39207920980538</v>
      </c>
      <c r="H154" s="0" t="str">
        <f aca="false">VLOOKUP(C154,'11.Region'!$B$22:$E$243,4,FALSE())</f>
        <v>Europe</v>
      </c>
      <c r="I154" s="548" t="n">
        <f aca="false">G154</f>
        <v>2.39207920980538</v>
      </c>
    </row>
    <row r="155" customFormat="false" ht="15" hidden="false" customHeight="false" outlineLevel="0" collapsed="false">
      <c r="C155" s="546" t="s">
        <v>517</v>
      </c>
      <c r="D155" s="543" t="n">
        <v>1.12949</v>
      </c>
      <c r="E155" s="543" t="n">
        <v>0.38078</v>
      </c>
      <c r="F155" s="543" t="n">
        <v>0.604828995795813</v>
      </c>
      <c r="G155" s="547" t="n">
        <f aca="false">D155*E155/F155</f>
        <v>0.711088927927647</v>
      </c>
      <c r="H155" s="0" t="str">
        <f aca="false">VLOOKUP(C155,'11.Region'!$B$22:$E$243,4,FALSE())</f>
        <v>Europe</v>
      </c>
      <c r="I155" s="548" t="n">
        <f aca="false">G155</f>
        <v>0.711088927927647</v>
      </c>
    </row>
    <row r="156" customFormat="false" ht="15" hidden="false" customHeight="false" outlineLevel="0" collapsed="false">
      <c r="C156" s="546" t="s">
        <v>445</v>
      </c>
      <c r="D156" s="543" t="n">
        <v>1.12949</v>
      </c>
      <c r="E156" s="543" t="n">
        <v>106.39519</v>
      </c>
      <c r="F156" s="543" t="n">
        <v>139.862226</v>
      </c>
      <c r="G156" s="547" t="n">
        <f aca="false">D156*E156/F156</f>
        <v>0.859219151517723</v>
      </c>
      <c r="H156" s="0" t="str">
        <f aca="false">VLOOKUP(C156,'11.Region'!$B$22:$E$243,4,FALSE())</f>
        <v>Europe</v>
      </c>
      <c r="I156" s="548" t="n">
        <f aca="false">G156</f>
        <v>0.859219151517723</v>
      </c>
    </row>
    <row r="157" customFormat="false" ht="15" hidden="false" customHeight="false" outlineLevel="0" collapsed="false">
      <c r="C157" s="546" t="s">
        <v>327</v>
      </c>
      <c r="D157" s="543" t="n">
        <v>1.12949</v>
      </c>
      <c r="E157" s="543" t="n">
        <v>0.98443</v>
      </c>
      <c r="F157" s="543" t="n">
        <v>1.21468</v>
      </c>
      <c r="G157" s="547" t="n">
        <f aca="false">D157*E157/F157</f>
        <v>0.915388283910166</v>
      </c>
      <c r="H157" s="0" t="str">
        <f aca="false">VLOOKUP(C157,'11.Region'!$B$22:$E$243,4,FALSE())</f>
        <v>Europe</v>
      </c>
      <c r="I157" s="548" t="n">
        <f aca="false">G157</f>
        <v>0.915388283910166</v>
      </c>
    </row>
    <row r="158" customFormat="false" ht="15" hidden="false" customHeight="false" outlineLevel="0" collapsed="false">
      <c r="C158" s="546" t="s">
        <v>365</v>
      </c>
      <c r="D158" s="543" t="n">
        <v>1.12949</v>
      </c>
      <c r="E158" s="545" t="n">
        <v>6.59736</v>
      </c>
      <c r="F158" s="543" t="n">
        <v>7.356282</v>
      </c>
      <c r="G158" s="547" t="n">
        <f aca="false">D158*E158/F158</f>
        <v>1.01296444948685</v>
      </c>
      <c r="H158" s="0" t="str">
        <f aca="false">VLOOKUP(C158,'11.Region'!$B$22:$E$243,4,FALSE())</f>
        <v>Europe</v>
      </c>
      <c r="I158" s="548" t="n">
        <f aca="false">G158</f>
        <v>1.01296444948685</v>
      </c>
    </row>
    <row r="159" customFormat="false" ht="15" hidden="false" customHeight="false" outlineLevel="0" collapsed="false">
      <c r="C159" s="546" t="s">
        <v>623</v>
      </c>
      <c r="D159" s="543" t="n">
        <v>1.12949</v>
      </c>
      <c r="E159" s="543" t="n">
        <v>8.54095</v>
      </c>
      <c r="F159" s="543" t="n">
        <v>9.124655</v>
      </c>
      <c r="G159" s="547" t="n">
        <f aca="false">D159*E159/F159</f>
        <v>1.05723642324011</v>
      </c>
      <c r="H159" s="0" t="str">
        <f aca="false">VLOOKUP(C159,'11.Region'!$B$22:$E$243,4,FALSE())</f>
        <v>Europe</v>
      </c>
      <c r="I159" s="548" t="n">
        <f aca="false">G159</f>
        <v>1.05723642324011</v>
      </c>
    </row>
    <row r="160" customFormat="false" ht="15" hidden="false" customHeight="false" outlineLevel="0" collapsed="false">
      <c r="C160" s="546" t="s">
        <v>383</v>
      </c>
      <c r="D160" s="543" t="n">
        <v>1.12949</v>
      </c>
      <c r="E160" s="543" t="n">
        <f aca="false">1/1.12949</f>
        <v>0.885355337364651</v>
      </c>
      <c r="F160" s="543" t="n">
        <v>0.897446</v>
      </c>
      <c r="G160" s="547" t="n">
        <f aca="false">D160*E160/F160</f>
        <v>1.11427317075345</v>
      </c>
      <c r="H160" s="0" t="str">
        <f aca="false">VLOOKUP(C160,'11.Region'!$B$22:$E$243,4,FALSE())</f>
        <v>Europe</v>
      </c>
      <c r="I160" s="548" t="n">
        <f aca="false">G160</f>
        <v>1.11427317075345</v>
      </c>
    </row>
    <row r="161" customFormat="false" ht="15" hidden="false" customHeight="false" outlineLevel="0" collapsed="false">
      <c r="C161" s="546" t="s">
        <v>491</v>
      </c>
      <c r="D161" s="543" t="n">
        <v>1.12949</v>
      </c>
      <c r="E161" s="543" t="n">
        <f aca="false">1/1.12949</f>
        <v>0.885355337364651</v>
      </c>
      <c r="F161" s="543" t="n">
        <v>0.891175</v>
      </c>
      <c r="G161" s="547" t="n">
        <f aca="false">D161*E161/F161</f>
        <v>1.12211406289449</v>
      </c>
      <c r="H161" s="0" t="str">
        <f aca="false">VLOOKUP(C161,'11.Region'!$B$22:$E$243,4,FALSE())</f>
        <v>Europe</v>
      </c>
      <c r="I161" s="548" t="n">
        <f aca="false">G161</f>
        <v>1.12211406289449</v>
      </c>
    </row>
    <row r="162" customFormat="false" ht="15" hidden="false" customHeight="false" outlineLevel="0" collapsed="false">
      <c r="C162" s="546" t="s">
        <v>289</v>
      </c>
      <c r="D162" s="543" t="n">
        <v>1.12949</v>
      </c>
      <c r="E162" s="543" t="n">
        <f aca="false">1/1.12949</f>
        <v>0.885355337364651</v>
      </c>
      <c r="F162" s="543" t="n">
        <v>0.808339</v>
      </c>
      <c r="G162" s="547" t="n">
        <f aca="false">D162*E162/F162</f>
        <v>1.23710472957509</v>
      </c>
      <c r="H162" s="0" t="str">
        <f aca="false">VLOOKUP(C162,'11.Region'!$B$22:$E$243,4,FALSE())</f>
        <v>Europe</v>
      </c>
      <c r="I162" s="548" t="n">
        <f aca="false">G162</f>
        <v>1.23710472957509</v>
      </c>
    </row>
    <row r="163" customFormat="false" ht="15" hidden="false" customHeight="false" outlineLevel="0" collapsed="false">
      <c r="C163" s="546" t="s">
        <v>547</v>
      </c>
      <c r="D163" s="543" t="n">
        <v>1.12949</v>
      </c>
      <c r="E163" s="543" t="n">
        <f aca="false">1/1.12949</f>
        <v>0.885355337364651</v>
      </c>
      <c r="F163" s="543" t="n">
        <v>0.808315</v>
      </c>
      <c r="G163" s="547" t="n">
        <f aca="false">D163*E163/F163</f>
        <v>1.23714146094035</v>
      </c>
      <c r="H163" s="0" t="str">
        <f aca="false">VLOOKUP(C163,'11.Region'!$B$22:$E$243,4,FALSE())</f>
        <v>Europe</v>
      </c>
      <c r="I163" s="548" t="n">
        <f aca="false">G163</f>
        <v>1.23714146094035</v>
      </c>
    </row>
    <row r="164" customFormat="false" ht="15" hidden="false" customHeight="false" outlineLevel="0" collapsed="false">
      <c r="C164" s="546" t="s">
        <v>439</v>
      </c>
      <c r="D164" s="543" t="n">
        <v>1.12949</v>
      </c>
      <c r="E164" s="543" t="n">
        <f aca="false">1/1.12949</f>
        <v>0.885355337364651</v>
      </c>
      <c r="F164" s="543" t="n">
        <v>0.806292</v>
      </c>
      <c r="G164" s="547" t="n">
        <f aca="false">D164*E164/F164</f>
        <v>1.2402454693833</v>
      </c>
      <c r="H164" s="0" t="str">
        <f aca="false">VLOOKUP(C164,'11.Region'!$B$22:$E$243,4,FALSE())</f>
        <v>Europe</v>
      </c>
      <c r="I164" s="548" t="n">
        <f aca="false">G164</f>
        <v>1.2402454693833</v>
      </c>
    </row>
    <row r="165" customFormat="false" ht="15" hidden="false" customHeight="false" outlineLevel="0" collapsed="false">
      <c r="C165" s="546" t="s">
        <v>395</v>
      </c>
      <c r="D165" s="543" t="n">
        <v>1.12949</v>
      </c>
      <c r="E165" s="543" t="n">
        <v>0.77667</v>
      </c>
      <c r="F165" s="543" t="n">
        <v>0.703402</v>
      </c>
      <c r="G165" s="547" t="n">
        <f aca="false">D165*E165/F165</f>
        <v>1.2471403241674</v>
      </c>
      <c r="H165" s="0" t="str">
        <f aca="false">VLOOKUP(C165,'11.Region'!$B$22:$E$243,4,FALSE())</f>
        <v>Europe</v>
      </c>
      <c r="I165" s="548" t="n">
        <f aca="false">G165</f>
        <v>1.2471403241674</v>
      </c>
    </row>
    <row r="166" customFormat="false" ht="15" hidden="false" customHeight="false" outlineLevel="0" collapsed="false">
      <c r="C166" s="546" t="s">
        <v>283</v>
      </c>
      <c r="D166" s="543" t="n">
        <v>1.12949</v>
      </c>
      <c r="E166" s="543" t="n">
        <f aca="false">1/1.12949</f>
        <v>0.885355337364651</v>
      </c>
      <c r="F166" s="543" t="n">
        <v>0.798475</v>
      </c>
      <c r="G166" s="547" t="n">
        <f aca="false">D166*E166/F166</f>
        <v>1.2523873634115</v>
      </c>
      <c r="H166" s="0" t="str">
        <f aca="false">VLOOKUP(C166,'11.Region'!$B$22:$E$243,4,FALSE())</f>
        <v>Europe</v>
      </c>
      <c r="I166" s="548" t="n">
        <f aca="false">G166</f>
        <v>1.2523873634115</v>
      </c>
    </row>
    <row r="167" customFormat="false" ht="15" hidden="false" customHeight="false" outlineLevel="0" collapsed="false">
      <c r="C167" s="546" t="s">
        <v>387</v>
      </c>
      <c r="D167" s="543" t="n">
        <v>1.12949</v>
      </c>
      <c r="E167" s="543" t="n">
        <f aca="false">1/1.12949</f>
        <v>0.885355337364651</v>
      </c>
      <c r="F167" s="543" t="n">
        <v>0.798152</v>
      </c>
      <c r="G167" s="547" t="n">
        <f aca="false">D167*E167/F167</f>
        <v>1.25289418556866</v>
      </c>
      <c r="H167" s="0" t="str">
        <f aca="false">VLOOKUP(C167,'11.Region'!$B$22:$E$243,4,FALSE())</f>
        <v>Europe</v>
      </c>
      <c r="I167" s="548" t="n">
        <f aca="false">G167</f>
        <v>1.25289418556866</v>
      </c>
    </row>
    <row r="168" customFormat="false" ht="15" hidden="false" customHeight="false" outlineLevel="0" collapsed="false">
      <c r="C168" s="546" t="s">
        <v>359</v>
      </c>
      <c r="D168" s="543" t="n">
        <v>1.12949</v>
      </c>
      <c r="E168" s="543" t="n">
        <f aca="false">1/1.12949</f>
        <v>0.885355337364651</v>
      </c>
      <c r="F168" s="543" t="n">
        <v>0.778114</v>
      </c>
      <c r="G168" s="547" t="n">
        <f aca="false">D168*E168/F168</f>
        <v>1.28515872995474</v>
      </c>
      <c r="H168" s="0" t="str">
        <f aca="false">VLOOKUP(C168,'11.Region'!$B$22:$E$243,4,FALSE())</f>
        <v>Europe</v>
      </c>
      <c r="I168" s="548" t="n">
        <f aca="false">G168</f>
        <v>1.28515872995474</v>
      </c>
    </row>
    <row r="169" customFormat="false" ht="15" hidden="false" customHeight="false" outlineLevel="0" collapsed="false">
      <c r="C169" s="546" t="s">
        <v>449</v>
      </c>
      <c r="D169" s="543" t="n">
        <v>1.12949</v>
      </c>
      <c r="E169" s="543" t="n">
        <f aca="false">1/1.12949</f>
        <v>0.885355337364651</v>
      </c>
      <c r="F169" s="543" t="n">
        <v>0.71213</v>
      </c>
      <c r="G169" s="547" t="n">
        <f aca="false">D169*E169/F169</f>
        <v>1.40423799025459</v>
      </c>
      <c r="H169" s="0" t="str">
        <f aca="false">VLOOKUP(C169,'11.Region'!$B$22:$E$243,4,FALSE())</f>
        <v>Europe</v>
      </c>
      <c r="I169" s="548" t="n">
        <f aca="false">G169</f>
        <v>1.40423799025459</v>
      </c>
    </row>
    <row r="170" customFormat="false" ht="15" hidden="false" customHeight="false" outlineLevel="0" collapsed="false">
      <c r="C170" s="546" t="s">
        <v>607</v>
      </c>
      <c r="D170" s="543" t="n">
        <v>1.12949</v>
      </c>
      <c r="E170" s="543" t="n">
        <f aca="false">1/1.12949</f>
        <v>0.885355337364651</v>
      </c>
      <c r="F170" s="543" t="n">
        <v>0.705989738864538</v>
      </c>
      <c r="G170" s="547" t="n">
        <f aca="false">D170*E170/F170</f>
        <v>1.41645118186608</v>
      </c>
      <c r="H170" s="0" t="str">
        <f aca="false">VLOOKUP(C170,'11.Region'!$B$22:$E$243,4,FALSE())</f>
        <v>Europe</v>
      </c>
      <c r="I170" s="548" t="n">
        <f aca="false">G170</f>
        <v>1.41645118186608</v>
      </c>
    </row>
    <row r="171" customFormat="false" ht="15" hidden="false" customHeight="false" outlineLevel="0" collapsed="false">
      <c r="C171" s="546" t="s">
        <v>377</v>
      </c>
      <c r="D171" s="543" t="n">
        <v>1.12949</v>
      </c>
      <c r="E171" s="543" t="n">
        <f aca="false">1/1.12949</f>
        <v>0.885355337364651</v>
      </c>
      <c r="F171" s="543" t="n">
        <v>0.655964</v>
      </c>
      <c r="G171" s="547" t="n">
        <f aca="false">D171*E171/F171</f>
        <v>1.52447390405571</v>
      </c>
      <c r="H171" s="0" t="str">
        <f aca="false">VLOOKUP(C171,'11.Region'!$B$22:$E$243,4,FALSE())</f>
        <v>Europe</v>
      </c>
      <c r="I171" s="548" t="n">
        <f aca="false">G171</f>
        <v>1.52447390405571</v>
      </c>
    </row>
    <row r="172" customFormat="false" ht="15" hidden="false" customHeight="false" outlineLevel="0" collapsed="false">
      <c r="C172" s="546" t="s">
        <v>621</v>
      </c>
      <c r="D172" s="543" t="n">
        <v>1.12949</v>
      </c>
      <c r="E172" s="543" t="n">
        <f aca="false">1/1.12949</f>
        <v>0.885355337364651</v>
      </c>
      <c r="F172" s="543" t="n">
        <v>0.601701</v>
      </c>
      <c r="G172" s="547" t="n">
        <f aca="false">D172*E172/F172</f>
        <v>1.66195502417314</v>
      </c>
      <c r="H172" s="0" t="str">
        <f aca="false">VLOOKUP(C172,'11.Region'!$B$22:$E$243,4,FALSE())</f>
        <v>Europe</v>
      </c>
      <c r="I172" s="548" t="n">
        <f aca="false">G172</f>
        <v>1.66195502417314</v>
      </c>
    </row>
    <row r="173" customFormat="false" ht="15" hidden="false" customHeight="false" outlineLevel="0" collapsed="false">
      <c r="C173" s="546" t="s">
        <v>411</v>
      </c>
      <c r="D173" s="543" t="n">
        <v>1.12949</v>
      </c>
      <c r="E173" s="543" t="n">
        <f aca="false">1/1.12949</f>
        <v>0.885355337364651</v>
      </c>
      <c r="F173" s="543" t="n">
        <v>0.593954</v>
      </c>
      <c r="G173" s="547" t="n">
        <f aca="false">D173*E173/F173</f>
        <v>1.68363206578287</v>
      </c>
      <c r="H173" s="0" t="str">
        <f aca="false">VLOOKUP(C173,'11.Region'!$B$22:$E$243,4,FALSE())</f>
        <v>Europe</v>
      </c>
      <c r="I173" s="548" t="n">
        <f aca="false">G173</f>
        <v>1.68363206578287</v>
      </c>
    </row>
    <row r="174" customFormat="false" ht="15" hidden="false" customHeight="false" outlineLevel="0" collapsed="false">
      <c r="C174" s="546" t="s">
        <v>577</v>
      </c>
      <c r="D174" s="543" t="n">
        <v>1.12949</v>
      </c>
      <c r="E174" s="543" t="n">
        <f aca="false">1/1.12949</f>
        <v>0.885355337364651</v>
      </c>
      <c r="F174" s="543" t="n">
        <v>0.582515</v>
      </c>
      <c r="G174" s="547" t="n">
        <f aca="false">D174*E174/F174</f>
        <v>1.71669399071269</v>
      </c>
      <c r="H174" s="0" t="str">
        <f aca="false">VLOOKUP(C174,'11.Region'!$B$22:$E$243,4,FALSE())</f>
        <v>Europe</v>
      </c>
      <c r="I174" s="548" t="n">
        <f aca="false">G174</f>
        <v>1.71669399071269</v>
      </c>
    </row>
    <row r="175" customFormat="false" ht="15" hidden="false" customHeight="false" outlineLevel="0" collapsed="false">
      <c r="C175" s="546" t="s">
        <v>379</v>
      </c>
      <c r="D175" s="543" t="n">
        <v>1.12949</v>
      </c>
      <c r="E175" s="543" t="n">
        <f aca="false">1/1.12949</f>
        <v>0.885355337364651</v>
      </c>
      <c r="F175" s="543" t="n">
        <v>0.552691</v>
      </c>
      <c r="G175" s="547" t="n">
        <f aca="false">D175*E175/F175</f>
        <v>1.80932926354871</v>
      </c>
      <c r="H175" s="0" t="str">
        <f aca="false">VLOOKUP(C175,'11.Region'!$B$22:$E$243,4,FALSE())</f>
        <v>Europe</v>
      </c>
      <c r="I175" s="548" t="n">
        <f aca="false">G175</f>
        <v>1.80932926354871</v>
      </c>
    </row>
    <row r="176" customFormat="false" ht="15" hidden="false" customHeight="false" outlineLevel="0" collapsed="false">
      <c r="C176" s="546" t="s">
        <v>493</v>
      </c>
      <c r="D176" s="543" t="n">
        <v>1.12949</v>
      </c>
      <c r="E176" s="543" t="n">
        <f aca="false">1/1.12949</f>
        <v>0.885355337364651</v>
      </c>
      <c r="F176" s="543" t="n">
        <v>0.501419094863328</v>
      </c>
      <c r="G176" s="547" t="n">
        <f aca="false">D176*E176/F176</f>
        <v>1.99433968559289</v>
      </c>
      <c r="H176" s="0" t="str">
        <f aca="false">VLOOKUP(C176,'11.Region'!$B$22:$E$243,4,FALSE())</f>
        <v>Europe</v>
      </c>
      <c r="I176" s="548" t="n">
        <f aca="false">G176</f>
        <v>1.99433968559289</v>
      </c>
    </row>
    <row r="177" customFormat="false" ht="15" hidden="false" customHeight="false" outlineLevel="0" collapsed="false">
      <c r="C177" s="546" t="s">
        <v>357</v>
      </c>
      <c r="D177" s="543" t="n">
        <v>1.12949</v>
      </c>
      <c r="E177" s="543" t="n">
        <v>23.36203</v>
      </c>
      <c r="F177" s="543" t="n">
        <v>12.897748</v>
      </c>
      <c r="G177" s="547" t="n">
        <f aca="false">D177*E177/F177</f>
        <v>2.04587492829756</v>
      </c>
      <c r="H177" s="0" t="str">
        <f aca="false">VLOOKUP(C177,'11.Region'!$B$22:$E$243,4,FALSE())</f>
        <v>Europe</v>
      </c>
      <c r="I177" s="548" t="n">
        <f aca="false">G177</f>
        <v>2.04587492829756</v>
      </c>
    </row>
    <row r="178" customFormat="false" ht="15" hidden="false" customHeight="false" outlineLevel="0" collapsed="false">
      <c r="C178" s="546" t="s">
        <v>619</v>
      </c>
      <c r="D178" s="543" t="n">
        <v>1.12949</v>
      </c>
      <c r="E178" s="543" t="n">
        <f aca="false">1/1.12949</f>
        <v>0.885355337364651</v>
      </c>
      <c r="F178" s="543" t="n">
        <v>0.486526</v>
      </c>
      <c r="G178" s="547" t="n">
        <f aca="false">D178*E178/F178</f>
        <v>2.05538861232493</v>
      </c>
      <c r="H178" s="0" t="str">
        <f aca="false">VLOOKUP(C178,'11.Region'!$B$22:$E$243,4,FALSE())</f>
        <v>Europe</v>
      </c>
      <c r="I178" s="548" t="n">
        <f aca="false">G178</f>
        <v>2.05538861232493</v>
      </c>
    </row>
    <row r="179" customFormat="false" ht="15" hidden="false" customHeight="false" outlineLevel="0" collapsed="false">
      <c r="C179" s="546" t="s">
        <v>427</v>
      </c>
      <c r="D179" s="543" t="n">
        <v>1.12949</v>
      </c>
      <c r="E179" s="543" t="n">
        <v>6.61403</v>
      </c>
      <c r="F179" s="543" t="n">
        <v>3.48553992522658</v>
      </c>
      <c r="G179" s="547" t="n">
        <f aca="false">D179*E179/F179</f>
        <v>2.14327791531878</v>
      </c>
      <c r="H179" s="0" t="str">
        <f aca="false">VLOOKUP(C179,'11.Region'!$B$22:$E$243,4,FALSE())</f>
        <v>Europe</v>
      </c>
      <c r="I179" s="548" t="n">
        <f aca="false">G179</f>
        <v>2.14327791531878</v>
      </c>
    </row>
    <row r="180" customFormat="false" ht="15" hidden="false" customHeight="false" outlineLevel="0" collapsed="false">
      <c r="C180" s="546" t="s">
        <v>489</v>
      </c>
      <c r="D180" s="543" t="n">
        <v>1.12949</v>
      </c>
      <c r="E180" s="543" t="n">
        <f aca="false">1/1.12949</f>
        <v>0.885355337364651</v>
      </c>
      <c r="F180" s="543" t="n">
        <v>0.461241471610829</v>
      </c>
      <c r="G180" s="547" t="n">
        <f aca="false">D180*E180/F180</f>
        <v>2.16806176709918</v>
      </c>
      <c r="H180" s="0" t="str">
        <f aca="false">VLOOKUP(C180,'11.Region'!$B$22:$E$243,4,FALSE())</f>
        <v>Europe</v>
      </c>
      <c r="I180" s="548" t="n">
        <f aca="false">G180</f>
        <v>2.16806176709918</v>
      </c>
    </row>
    <row r="181" customFormat="false" ht="15" hidden="false" customHeight="false" outlineLevel="0" collapsed="false">
      <c r="C181" s="546" t="s">
        <v>431</v>
      </c>
      <c r="D181" s="543" t="n">
        <v>1.12949</v>
      </c>
      <c r="E181" s="543" t="n">
        <v>274.10039</v>
      </c>
      <c r="F181" s="543" t="n">
        <v>137.576062</v>
      </c>
      <c r="G181" s="547" t="n">
        <f aca="false">D181*E181/F181</f>
        <v>2.25034533624825</v>
      </c>
      <c r="H181" s="0" t="str">
        <f aca="false">VLOOKUP(C181,'11.Region'!$B$22:$E$243,4,FALSE())</f>
        <v>Europe</v>
      </c>
      <c r="I181" s="548" t="n">
        <f aca="false">G181</f>
        <v>2.25034533624825</v>
      </c>
    </row>
    <row r="182" customFormat="false" ht="15" hidden="false" customHeight="false" outlineLevel="0" collapsed="false">
      <c r="C182" s="546" t="s">
        <v>589</v>
      </c>
      <c r="D182" s="543" t="n">
        <v>1.12949</v>
      </c>
      <c r="E182" s="543" t="n">
        <v>58.29239</v>
      </c>
      <c r="F182" s="543" t="n">
        <v>24.547936</v>
      </c>
      <c r="G182" s="547" t="n">
        <f aca="false">D182*E182/F182</f>
        <v>2.68212657801862</v>
      </c>
      <c r="H182" s="0" t="str">
        <f aca="false">VLOOKUP(C182,'11.Region'!$B$22:$E$243,4,FALSE())</f>
        <v>Europe</v>
      </c>
      <c r="I182" s="548" t="n">
        <f aca="false">G182</f>
        <v>2.68212657801862</v>
      </c>
    </row>
    <row r="183" customFormat="false" ht="15" hidden="false" customHeight="false" outlineLevel="0" collapsed="false">
      <c r="C183" s="546" t="s">
        <v>587</v>
      </c>
      <c r="D183" s="543" t="n">
        <v>1.12949</v>
      </c>
      <c r="E183" s="543" t="n">
        <v>4.04725</v>
      </c>
      <c r="F183" s="543" t="n">
        <v>1.69586564059295</v>
      </c>
      <c r="G183" s="547" t="n">
        <f aca="false">D183*E183/F183</f>
        <v>2.69557227475973</v>
      </c>
      <c r="H183" s="0" t="str">
        <f aca="false">VLOOKUP(C183,'11.Region'!$B$22:$E$243,4,FALSE())</f>
        <v>Europe</v>
      </c>
      <c r="I183" s="548" t="n">
        <f aca="false">G183</f>
        <v>2.69557227475973</v>
      </c>
    </row>
    <row r="184" customFormat="false" ht="15" hidden="false" customHeight="false" outlineLevel="0" collapsed="false">
      <c r="C184" s="546" t="s">
        <v>521</v>
      </c>
      <c r="D184" s="543" t="n">
        <v>1.12949</v>
      </c>
      <c r="E184" s="543" t="n">
        <f aca="false">1/1.12949</f>
        <v>0.885355337364651</v>
      </c>
      <c r="F184" s="543" t="n">
        <v>0.362693298031742</v>
      </c>
      <c r="G184" s="547" t="n">
        <f aca="false">D184*E184/F184</f>
        <v>2.75715047790181</v>
      </c>
      <c r="H184" s="0" t="str">
        <f aca="false">VLOOKUP(C184,'11.Region'!$B$22:$E$243,4,FALSE())</f>
        <v>Europe</v>
      </c>
      <c r="I184" s="548" t="n">
        <f aca="false">G184</f>
        <v>2.75715047790181</v>
      </c>
    </row>
    <row r="185" customFormat="false" ht="15" hidden="false" customHeight="false" outlineLevel="0" collapsed="false">
      <c r="C185" s="546" t="s">
        <v>503</v>
      </c>
      <c r="D185" s="543" t="n">
        <v>1.12949</v>
      </c>
      <c r="E185" s="543" t="n">
        <v>18.2129</v>
      </c>
      <c r="F185" s="543" t="n">
        <v>7.43448148063916</v>
      </c>
      <c r="G185" s="547" t="n">
        <f aca="false">D185*E185/F185</f>
        <v>2.76701051372199</v>
      </c>
      <c r="H185" s="0" t="str">
        <f aca="false">VLOOKUP(C185,'11.Region'!$B$22:$E$243,4,FALSE())</f>
        <v>Europe</v>
      </c>
      <c r="I185" s="548" t="n">
        <f aca="false">G185</f>
        <v>2.76701051372199</v>
      </c>
    </row>
    <row r="186" customFormat="false" ht="15" hidden="false" customHeight="false" outlineLevel="0" collapsed="false">
      <c r="C186" s="546" t="s">
        <v>303</v>
      </c>
      <c r="D186" s="543" t="n">
        <v>1.12949</v>
      </c>
      <c r="E186" s="543" t="n">
        <v>1.73217</v>
      </c>
      <c r="F186" s="543" t="n">
        <v>0.698236860098049</v>
      </c>
      <c r="G186" s="547" t="n">
        <f aca="false">D186*E186/F186</f>
        <v>2.8020129058</v>
      </c>
      <c r="H186" s="0" t="str">
        <f aca="false">VLOOKUP(C186,'11.Region'!$B$22:$E$243,4,FALSE())</f>
        <v>Europe</v>
      </c>
      <c r="I186" s="548" t="n">
        <f aca="false">G186</f>
        <v>2.8020129058</v>
      </c>
    </row>
    <row r="187" customFormat="false" ht="15" hidden="false" customHeight="false" outlineLevel="0" collapsed="false">
      <c r="C187" s="546" t="s">
        <v>297</v>
      </c>
      <c r="D187" s="543" t="n">
        <v>1.12949</v>
      </c>
      <c r="E187" s="543" t="n">
        <v>1.72845</v>
      </c>
      <c r="F187" s="543" t="n">
        <v>0.685651212522367</v>
      </c>
      <c r="G187" s="547" t="n">
        <f aca="false">D187*E187/F187</f>
        <v>2.84731792906487</v>
      </c>
      <c r="H187" s="0" t="str">
        <f aca="false">VLOOKUP(C187,'11.Region'!$B$22:$E$243,4,FALSE())</f>
        <v>Europe</v>
      </c>
      <c r="I187" s="548" t="n">
        <f aca="false">G187</f>
        <v>2.84731792906487</v>
      </c>
    </row>
    <row r="188" customFormat="false" ht="15" hidden="false" customHeight="false" outlineLevel="0" collapsed="false">
      <c r="C188" s="546" t="s">
        <v>611</v>
      </c>
      <c r="D188" s="543" t="n">
        <v>1.12949</v>
      </c>
      <c r="E188" s="543" t="n">
        <v>107.40032</v>
      </c>
      <c r="F188" s="543" t="n">
        <v>42.1325700819016</v>
      </c>
      <c r="G188" s="547" t="n">
        <f aca="false">D188*E188/F188</f>
        <v>2.87918793467832</v>
      </c>
      <c r="H188" s="0" t="str">
        <f aca="false">VLOOKUP(C188,'11.Region'!$B$22:$E$243,4,FALSE())</f>
        <v>Europe</v>
      </c>
      <c r="I188" s="548" t="n">
        <f aca="false">G188</f>
        <v>2.87918793467832</v>
      </c>
    </row>
    <row r="189" customFormat="false" ht="15" hidden="false" customHeight="false" outlineLevel="0" collapsed="false">
      <c r="C189" s="546" t="s">
        <v>265</v>
      </c>
      <c r="D189" s="543" t="n">
        <v>1.12949</v>
      </c>
      <c r="E189" s="543" t="n">
        <v>117.69137</v>
      </c>
      <c r="F189" s="543" t="n">
        <v>44.9606493941025</v>
      </c>
      <c r="G189" s="547" t="n">
        <f aca="false">D189*E189/F189</f>
        <v>2.95661266669197</v>
      </c>
      <c r="H189" s="0" t="str">
        <f aca="false">VLOOKUP(C189,'11.Region'!$B$22:$E$243,4,FALSE())</f>
        <v>Europe</v>
      </c>
      <c r="I189" s="548" t="n">
        <f aca="false">G189</f>
        <v>2.95661266669197</v>
      </c>
    </row>
    <row r="190" customFormat="false" ht="15" hidden="false" customHeight="false" outlineLevel="0" collapsed="false">
      <c r="C190" s="546" t="s">
        <v>513</v>
      </c>
      <c r="D190" s="543" t="n">
        <v>1.12949</v>
      </c>
      <c r="E190" s="543" t="n">
        <v>54.24558</v>
      </c>
      <c r="F190" s="543" t="n">
        <v>19.5336154553818</v>
      </c>
      <c r="G190" s="547" t="n">
        <f aca="false">D190*E190/F190</f>
        <v>3.1366359337907</v>
      </c>
      <c r="H190" s="0" t="str">
        <f aca="false">VLOOKUP(C190,'11.Region'!$B$22:$E$243,4,FALSE())</f>
        <v>Europe</v>
      </c>
      <c r="I190" s="548" t="n">
        <f aca="false">G190</f>
        <v>3.1366359337907</v>
      </c>
    </row>
    <row r="191" customFormat="false" ht="15" hidden="false" customHeight="false" outlineLevel="0" collapsed="false">
      <c r="C191" s="546" t="s">
        <v>683</v>
      </c>
      <c r="D191" s="543" t="n">
        <v>1.12949</v>
      </c>
      <c r="E191" s="543" t="n">
        <v>1</v>
      </c>
      <c r="F191" s="543" t="n">
        <v>0.321311102955936</v>
      </c>
      <c r="G191" s="547" t="n">
        <f aca="false">D191*E191/F191</f>
        <v>3.51525356456448</v>
      </c>
      <c r="H191" s="0" t="str">
        <f aca="false">VLOOKUP(C191,'11.Region'!$B$22:$E$243,4,FALSE())</f>
        <v>Europe</v>
      </c>
      <c r="I191" s="548" t="n">
        <f aca="false">G191</f>
        <v>3.51525356456448</v>
      </c>
    </row>
    <row r="192" customFormat="false" ht="15" hidden="false" customHeight="false" outlineLevel="0" collapsed="false">
      <c r="C192" s="546" t="s">
        <v>661</v>
      </c>
      <c r="D192" s="543" t="n">
        <v>1.12949</v>
      </c>
      <c r="E192" s="543" t="n">
        <v>26.40741</v>
      </c>
      <c r="F192" s="543" t="n">
        <v>8.10097955919182</v>
      </c>
      <c r="G192" s="547" t="n">
        <f aca="false">D192*E192/F192</f>
        <v>3.68188875221352</v>
      </c>
      <c r="H192" s="0" t="str">
        <f aca="false">VLOOKUP(C192,'11.Region'!$B$22:$E$243,4,FALSE())</f>
        <v>Europe</v>
      </c>
      <c r="I192" s="548" t="n">
        <f aca="false">G192</f>
        <v>3.68188875221352</v>
      </c>
    </row>
    <row r="193" customFormat="false" ht="15" hidden="false" customHeight="false" outlineLevel="0" collapsed="false">
      <c r="C193" s="546" t="s">
        <v>305</v>
      </c>
      <c r="D193" s="543" t="n">
        <v>1.12949</v>
      </c>
      <c r="E193" s="543" t="n">
        <v>1.977391353</v>
      </c>
      <c r="F193" s="543" t="n">
        <v>0.587035544710029</v>
      </c>
      <c r="G193" s="547" t="n">
        <f aca="false">D193*E193/F193</f>
        <v>3.80461418295071</v>
      </c>
      <c r="H193" s="0" t="str">
        <f aca="false">VLOOKUP(C193,'11.Region'!$B$22:$E$243,4,FALSE())</f>
        <v>Europe</v>
      </c>
      <c r="I193" s="548" t="n">
        <f aca="false">G193</f>
        <v>3.80461418295071</v>
      </c>
    </row>
    <row r="194" customFormat="false" ht="15" hidden="false" customHeight="false" outlineLevel="0" collapsed="false">
      <c r="C194" s="546" t="s">
        <v>268</v>
      </c>
      <c r="D194" s="543" t="n">
        <v>1.12949</v>
      </c>
      <c r="E194" s="543" t="n">
        <f aca="false">1/1.12949</f>
        <v>0.885355337364651</v>
      </c>
      <c r="G194" s="547" t="e">
        <f aca="false">D194*E194/F194</f>
        <v>#DIV/0!</v>
      </c>
      <c r="H194" s="0" t="str">
        <f aca="false">VLOOKUP(C194,'11.Region'!$B$22:$E$243,4,FALSE())</f>
        <v>Europe</v>
      </c>
      <c r="I194" s="548" t="n">
        <f aca="false">$K$153</f>
        <v>1.93286164519776</v>
      </c>
      <c r="J194" s="0" t="s">
        <v>257</v>
      </c>
    </row>
    <row r="195" customFormat="false" ht="15" hidden="false" customHeight="false" outlineLevel="0" collapsed="false">
      <c r="C195" s="546" t="s">
        <v>389</v>
      </c>
      <c r="D195" s="543" t="n">
        <v>1.12949</v>
      </c>
      <c r="G195" s="547" t="e">
        <f aca="false">D195*E195/F195</f>
        <v>#DIV/0!</v>
      </c>
      <c r="H195" s="0" t="str">
        <f aca="false">VLOOKUP(C195,'11.Region'!$B$22:$E$243,4,FALSE())</f>
        <v>Europe</v>
      </c>
      <c r="I195" s="548" t="n">
        <f aca="false">$K$153</f>
        <v>1.93286164519776</v>
      </c>
      <c r="J195" s="0" t="s">
        <v>257</v>
      </c>
    </row>
    <row r="196" customFormat="false" ht="15" hidden="false" customHeight="false" outlineLevel="0" collapsed="false">
      <c r="C196" s="546" t="s">
        <v>401</v>
      </c>
      <c r="D196" s="543" t="n">
        <v>1.12949</v>
      </c>
      <c r="G196" s="547" t="e">
        <f aca="false">D196*E196/F196</f>
        <v>#DIV/0!</v>
      </c>
      <c r="H196" s="0" t="str">
        <f aca="false">VLOOKUP(C196,'11.Region'!$B$22:$E$243,4,FALSE())</f>
        <v>Europe</v>
      </c>
      <c r="I196" s="548" t="n">
        <f aca="false">$K$153</f>
        <v>1.93286164519776</v>
      </c>
      <c r="J196" s="0" t="s">
        <v>257</v>
      </c>
    </row>
    <row r="197" customFormat="false" ht="15" hidden="false" customHeight="false" outlineLevel="0" collapsed="false">
      <c r="C197" s="546" t="s">
        <v>435</v>
      </c>
      <c r="D197" s="543" t="n">
        <v>1.12949</v>
      </c>
      <c r="G197" s="547" t="e">
        <f aca="false">D197*E197/F197</f>
        <v>#DIV/0!</v>
      </c>
      <c r="H197" s="0" t="str">
        <f aca="false">VLOOKUP(C197,'11.Region'!$B$22:$E$243,4,FALSE())</f>
        <v>Europe</v>
      </c>
      <c r="I197" s="548" t="n">
        <f aca="false">$K$153</f>
        <v>1.93286164519776</v>
      </c>
      <c r="J197" s="0" t="s">
        <v>257</v>
      </c>
    </row>
    <row r="198" customFormat="false" ht="15" hidden="false" customHeight="false" outlineLevel="0" collapsed="false">
      <c r="C198" s="546" t="s">
        <v>483</v>
      </c>
      <c r="D198" s="543" t="n">
        <v>1.12949</v>
      </c>
      <c r="G198" s="547" t="e">
        <f aca="false">D198*E198/F198</f>
        <v>#DIV/0!</v>
      </c>
      <c r="H198" s="0" t="str">
        <f aca="false">VLOOKUP(C198,'11.Region'!$B$22:$E$243,4,FALSE())</f>
        <v>Europe</v>
      </c>
      <c r="I198" s="548" t="n">
        <f aca="false">$K$153</f>
        <v>1.93286164519776</v>
      </c>
      <c r="J198" s="0" t="s">
        <v>257</v>
      </c>
    </row>
    <row r="199" customFormat="false" ht="15" hidden="false" customHeight="false" outlineLevel="0" collapsed="false">
      <c r="C199" s="546" t="s">
        <v>501</v>
      </c>
      <c r="D199" s="543" t="n">
        <v>1.12949</v>
      </c>
      <c r="E199" s="543" t="n">
        <f aca="false">1/1.12949</f>
        <v>0.885355337364651</v>
      </c>
      <c r="G199" s="547" t="e">
        <f aca="false">D199*E199/F199</f>
        <v>#DIV/0!</v>
      </c>
      <c r="H199" s="0" t="str">
        <f aca="false">VLOOKUP(C199,'11.Region'!$B$22:$E$243,4,FALSE())</f>
        <v>Europe</v>
      </c>
      <c r="I199" s="548" t="n">
        <f aca="false">$K$153</f>
        <v>1.93286164519776</v>
      </c>
      <c r="J199" s="0" t="s">
        <v>257</v>
      </c>
    </row>
    <row r="200" customFormat="false" ht="15" hidden="false" customHeight="false" outlineLevel="0" collapsed="false">
      <c r="C200" s="546" t="s">
        <v>681</v>
      </c>
      <c r="D200" s="543" t="n">
        <v>1.12949</v>
      </c>
      <c r="E200" s="543" t="n">
        <v>1</v>
      </c>
      <c r="F200" s="543" t="n">
        <v>1.6425069820888</v>
      </c>
      <c r="G200" s="547" t="n">
        <f aca="false">D200*E200/F200</f>
        <v>0.687662221419364</v>
      </c>
      <c r="H200" s="0" t="str">
        <f aca="false">VLOOKUP(C200,'11.Region'!$B$22:$E$243,4,FALSE())</f>
        <v>Oceania</v>
      </c>
      <c r="I200" s="548" t="n">
        <f aca="false">G200</f>
        <v>0.687662221419364</v>
      </c>
      <c r="K200" s="549" t="n">
        <f aca="false">AVERAGE(G200:G213)</f>
        <v>1.35633083709363</v>
      </c>
      <c r="L200" s="550" t="s">
        <v>277</v>
      </c>
    </row>
    <row r="201" customFormat="false" ht="15" hidden="false" customHeight="false" outlineLevel="0" collapsed="false">
      <c r="C201" s="546" t="s">
        <v>281</v>
      </c>
      <c r="D201" s="543" t="n">
        <v>1.12949</v>
      </c>
      <c r="E201" s="543" t="n">
        <v>1.30488</v>
      </c>
      <c r="F201" s="543" t="n">
        <v>1.516225</v>
      </c>
      <c r="G201" s="547" t="n">
        <f aca="false">D201*E201/F201</f>
        <v>0.972051582845554</v>
      </c>
      <c r="H201" s="0" t="str">
        <f aca="false">VLOOKUP(C201,'11.Region'!$B$22:$E$243,4,FALSE())</f>
        <v>Oceania</v>
      </c>
      <c r="I201" s="548" t="n">
        <f aca="false">G201</f>
        <v>0.972051582845554</v>
      </c>
    </row>
    <row r="202" customFormat="false" ht="15" hidden="false" customHeight="false" outlineLevel="0" collapsed="false">
      <c r="C202" s="546" t="s">
        <v>555</v>
      </c>
      <c r="D202" s="543" t="n">
        <v>1.12949</v>
      </c>
      <c r="E202" s="543" t="n">
        <v>1.40717</v>
      </c>
      <c r="F202" s="543" t="n">
        <v>1.477015</v>
      </c>
      <c r="G202" s="547" t="n">
        <f aca="false">D202*E202/F202</f>
        <v>1.07607874212516</v>
      </c>
      <c r="H202" s="0" t="str">
        <f aca="false">VLOOKUP(C202,'11.Region'!$B$22:$E$243,4,FALSE())</f>
        <v>Oceania</v>
      </c>
      <c r="I202" s="548" t="n">
        <f aca="false">G202</f>
        <v>1.07607874212516</v>
      </c>
    </row>
    <row r="203" customFormat="false" ht="15" hidden="false" customHeight="false" outlineLevel="0" collapsed="false">
      <c r="C203" s="546" t="s">
        <v>679</v>
      </c>
      <c r="D203" s="543" t="n">
        <v>1.12949</v>
      </c>
      <c r="E203" s="554" t="n">
        <v>106.12934</v>
      </c>
      <c r="F203" s="543" t="n">
        <v>103.3875398947</v>
      </c>
      <c r="G203" s="547" t="n">
        <f aca="false">D203*E203/F203</f>
        <v>1.15944366563601</v>
      </c>
      <c r="H203" s="0" t="str">
        <f aca="false">VLOOKUP(C203,'11.Region'!$B$22:$E$243,4,FALSE())</f>
        <v>Oceania</v>
      </c>
      <c r="I203" s="548" t="n">
        <f aca="false">G203</f>
        <v>1.15944366563601</v>
      </c>
    </row>
    <row r="204" customFormat="false" ht="15" hidden="false" customHeight="false" outlineLevel="0" collapsed="false">
      <c r="C204" s="546" t="s">
        <v>567</v>
      </c>
      <c r="D204" s="543" t="n">
        <v>1.12949</v>
      </c>
      <c r="E204" s="543" t="n">
        <v>1</v>
      </c>
      <c r="F204" s="543" t="n">
        <v>0.923036082275079</v>
      </c>
      <c r="G204" s="547" t="n">
        <f aca="false">D204*E204/F204</f>
        <v>1.22366830689442</v>
      </c>
      <c r="H204" s="0" t="str">
        <f aca="false">VLOOKUP(C204,'11.Region'!$B$22:$E$243,4,FALSE())</f>
        <v>Oceania</v>
      </c>
      <c r="I204" s="548" t="n">
        <f aca="false">G204</f>
        <v>1.22366830689442</v>
      </c>
    </row>
    <row r="205" customFormat="false" ht="15" hidden="false" customHeight="false" outlineLevel="0" collapsed="false">
      <c r="C205" s="546" t="s">
        <v>601</v>
      </c>
      <c r="D205" s="543" t="n">
        <v>1.12949</v>
      </c>
      <c r="E205" s="543" t="n">
        <v>7.64672</v>
      </c>
      <c r="F205" s="543" t="n">
        <v>6.9439924666351</v>
      </c>
      <c r="G205" s="547" t="n">
        <f aca="false">D205*E205/F205</f>
        <v>1.24379365535015</v>
      </c>
      <c r="H205" s="0" t="str">
        <f aca="false">VLOOKUP(C205,'11.Region'!$B$22:$E$243,4,FALSE())</f>
        <v>Oceania</v>
      </c>
      <c r="I205" s="548" t="n">
        <f aca="false">G205</f>
        <v>1.24379365535015</v>
      </c>
    </row>
    <row r="206" customFormat="false" ht="15" hidden="false" customHeight="false" outlineLevel="0" collapsed="false">
      <c r="C206" s="546" t="s">
        <v>655</v>
      </c>
      <c r="D206" s="543" t="n">
        <v>1.12949</v>
      </c>
      <c r="E206" s="543" t="n">
        <v>1.30488</v>
      </c>
      <c r="F206" s="543" t="n">
        <v>1.17165386377771</v>
      </c>
      <c r="G206" s="547" t="n">
        <f aca="false">D206*E206/F206</f>
        <v>1.25792177772362</v>
      </c>
      <c r="H206" s="0" t="str">
        <f aca="false">VLOOKUP(C206,'11.Region'!$B$22:$E$243,4,FALSE())</f>
        <v>Oceania</v>
      </c>
      <c r="I206" s="548" t="n">
        <f aca="false">G206</f>
        <v>1.25792177772362</v>
      </c>
    </row>
    <row r="207" customFormat="false" ht="15" hidden="false" customHeight="false" outlineLevel="0" collapsed="false">
      <c r="C207" s="546" t="s">
        <v>511</v>
      </c>
      <c r="D207" s="543" t="n">
        <v>1.12949</v>
      </c>
      <c r="E207" s="543" t="n">
        <v>1</v>
      </c>
      <c r="F207" s="543" t="n">
        <v>0.895139466288157</v>
      </c>
      <c r="G207" s="547" t="n">
        <f aca="false">D207*E207/F207</f>
        <v>1.26180337538196</v>
      </c>
      <c r="H207" s="0" t="str">
        <f aca="false">VLOOKUP(C207,'11.Region'!$B$22:$E$243,4,FALSE())</f>
        <v>Oceania</v>
      </c>
      <c r="I207" s="548" t="n">
        <f aca="false">G207</f>
        <v>1.26180337538196</v>
      </c>
    </row>
    <row r="208" customFormat="false" ht="15" hidden="false" customHeight="false" outlineLevel="0" collapsed="false">
      <c r="C208" s="546" t="s">
        <v>391</v>
      </c>
      <c r="D208" s="543" t="n">
        <v>1.12949</v>
      </c>
      <c r="E208" s="543" t="n">
        <v>1</v>
      </c>
      <c r="F208" s="543" t="n">
        <v>0.879973781757838</v>
      </c>
      <c r="G208" s="547" t="n">
        <f aca="false">D208*E208/F208</f>
        <v>1.28354960501633</v>
      </c>
      <c r="H208" s="0" t="str">
        <f aca="false">VLOOKUP(C208,'11.Region'!$B$22:$E$243,4,FALSE())</f>
        <v>Oceania</v>
      </c>
      <c r="I208" s="548" t="n">
        <f aca="false">G208</f>
        <v>1.28354960501633</v>
      </c>
    </row>
    <row r="209" customFormat="false" ht="15" hidden="false" customHeight="false" outlineLevel="0" collapsed="false">
      <c r="C209" s="546" t="s">
        <v>465</v>
      </c>
      <c r="D209" s="543" t="n">
        <v>1.12949</v>
      </c>
      <c r="E209" s="543" t="n">
        <v>1.30488</v>
      </c>
      <c r="F209" s="543" t="n">
        <v>1.01094754194661</v>
      </c>
      <c r="G209" s="547" t="n">
        <f aca="false">D209*E209/F209</f>
        <v>1.45788861443993</v>
      </c>
      <c r="H209" s="0" t="str">
        <f aca="false">VLOOKUP(C209,'11.Region'!$B$22:$E$243,4,FALSE())</f>
        <v>Oceania</v>
      </c>
      <c r="I209" s="548" t="n">
        <f aca="false">G209</f>
        <v>1.45788861443993</v>
      </c>
    </row>
    <row r="210" customFormat="false" ht="15" hidden="false" customHeight="false" outlineLevel="0" collapsed="false">
      <c r="C210" s="546" t="s">
        <v>647</v>
      </c>
      <c r="D210" s="543" t="n">
        <v>1.12949</v>
      </c>
      <c r="E210" s="543" t="n">
        <v>2.26634</v>
      </c>
      <c r="F210" s="543" t="n">
        <v>1.46372744667467</v>
      </c>
      <c r="G210" s="547" t="n">
        <f aca="false">D210*E210/F210</f>
        <v>1.74882856259574</v>
      </c>
      <c r="H210" s="0" t="str">
        <f aca="false">VLOOKUP(C210,'11.Region'!$B$22:$E$243,4,FALSE())</f>
        <v>Oceania</v>
      </c>
      <c r="I210" s="548" t="n">
        <f aca="false">G210</f>
        <v>1.74882856259574</v>
      </c>
    </row>
    <row r="211" customFormat="false" ht="15" hidden="false" customHeight="false" outlineLevel="0" collapsed="false">
      <c r="C211" s="546" t="s">
        <v>569</v>
      </c>
      <c r="D211" s="543" t="n">
        <v>1.12949</v>
      </c>
      <c r="E211" s="543" t="n">
        <v>3.12514</v>
      </c>
      <c r="F211" s="543" t="n">
        <v>1.94174409917977</v>
      </c>
      <c r="G211" s="547" t="n">
        <f aca="false">D211*E211/F211</f>
        <v>1.81785765698532</v>
      </c>
      <c r="H211" s="0" t="str">
        <f aca="false">VLOOKUP(C211,'11.Region'!$B$22:$E$243,4,FALSE())</f>
        <v>Oceania</v>
      </c>
      <c r="I211" s="548" t="n">
        <f aca="false">G211</f>
        <v>1.81785765698532</v>
      </c>
    </row>
    <row r="212" customFormat="false" ht="15" hidden="false" customHeight="false" outlineLevel="0" collapsed="false">
      <c r="C212" s="546" t="s">
        <v>553</v>
      </c>
      <c r="D212" s="543" t="n">
        <v>1.12949</v>
      </c>
      <c r="E212" s="543" t="n">
        <v>1.30488</v>
      </c>
      <c r="F212" s="543" t="n">
        <v>0.781427200668124</v>
      </c>
      <c r="G212" s="547" t="n">
        <f aca="false">D212*E212/F212</f>
        <v>1.88609880733593</v>
      </c>
      <c r="H212" s="0" t="str">
        <f aca="false">VLOOKUP(C212,'11.Region'!$B$22:$E$243,4,FALSE())</f>
        <v>Oceania</v>
      </c>
      <c r="I212" s="548" t="n">
        <f aca="false">G212</f>
        <v>1.88609880733593</v>
      </c>
    </row>
    <row r="213" customFormat="false" ht="15" hidden="false" customHeight="false" outlineLevel="0" collapsed="false">
      <c r="C213" s="546" t="s">
        <v>385</v>
      </c>
      <c r="D213" s="543" t="n">
        <v>1.12949</v>
      </c>
      <c r="E213" s="543" t="n">
        <v>2.04679</v>
      </c>
      <c r="F213" s="543" t="n">
        <v>1.20912489433657</v>
      </c>
      <c r="G213" s="547" t="n">
        <f aca="false">D213*E213/F213</f>
        <v>1.91198514556138</v>
      </c>
      <c r="H213" s="0" t="str">
        <f aca="false">VLOOKUP(C213,'11.Region'!$B$22:$E$243,4,FALSE())</f>
        <v>Oceania</v>
      </c>
      <c r="I213" s="548" t="n">
        <f aca="false">G213</f>
        <v>1.91198514556138</v>
      </c>
    </row>
    <row r="214" customFormat="false" ht="15" hidden="false" customHeight="false" outlineLevel="0" collapsed="false">
      <c r="C214" s="546" t="s">
        <v>276</v>
      </c>
      <c r="D214" s="543" t="n">
        <v>1.12949</v>
      </c>
      <c r="E214" s="543" t="n">
        <v>1</v>
      </c>
      <c r="G214" s="547" t="e">
        <f aca="false">D214*E214/F214</f>
        <v>#DIV/0!</v>
      </c>
      <c r="H214" s="0" t="str">
        <f aca="false">VLOOKUP(C214,'11.Region'!$B$22:$E$243,4,FALSE())</f>
        <v>Oceania</v>
      </c>
      <c r="I214" s="548" t="n">
        <f aca="false">$K$200</f>
        <v>1.35633083709363</v>
      </c>
      <c r="J214" s="0" t="s">
        <v>257</v>
      </c>
    </row>
    <row r="215" customFormat="false" ht="15" hidden="false" customHeight="false" outlineLevel="0" collapsed="false">
      <c r="C215" s="546" t="s">
        <v>419</v>
      </c>
      <c r="D215" s="543" t="n">
        <v>1.12949</v>
      </c>
      <c r="G215" s="547" t="e">
        <f aca="false">D215*E215/F215</f>
        <v>#DIV/0!</v>
      </c>
      <c r="H215" s="0" t="str">
        <f aca="false">VLOOKUP(C215,'11.Region'!$B$22:$E$243,4,FALSE())</f>
        <v>Oceania</v>
      </c>
      <c r="I215" s="548" t="n">
        <f aca="false">$K$200</f>
        <v>1.35633083709363</v>
      </c>
      <c r="J215" s="0" t="s">
        <v>257</v>
      </c>
    </row>
    <row r="216" customFormat="false" ht="15" hidden="false" customHeight="false" outlineLevel="0" collapsed="false">
      <c r="C216" s="546" t="s">
        <v>525</v>
      </c>
      <c r="D216" s="543" t="n">
        <v>1.12949</v>
      </c>
      <c r="G216" s="547" t="e">
        <f aca="false">D216*E216/F216</f>
        <v>#DIV/0!</v>
      </c>
      <c r="H216" s="0" t="str">
        <f aca="false">VLOOKUP(C216,'11.Region'!$B$22:$E$243,4,FALSE())</f>
        <v>Oceania</v>
      </c>
      <c r="I216" s="548" t="n">
        <f aca="false">$K$200</f>
        <v>1.35633083709363</v>
      </c>
      <c r="J216" s="0" t="s">
        <v>257</v>
      </c>
    </row>
    <row r="217" customFormat="false" ht="15" hidden="false" customHeight="false" outlineLevel="0" collapsed="false">
      <c r="C217" s="546" t="s">
        <v>539</v>
      </c>
      <c r="D217" s="543" t="n">
        <v>1.12949</v>
      </c>
      <c r="G217" s="547" t="e">
        <f aca="false">D217*E217/F217</f>
        <v>#DIV/0!</v>
      </c>
      <c r="H217" s="0" t="str">
        <f aca="false">VLOOKUP(C217,'11.Region'!$B$22:$E$243,4,FALSE())</f>
        <v>Oceania</v>
      </c>
      <c r="I217" s="548" t="n">
        <f aca="false">$K$200</f>
        <v>1.35633083709363</v>
      </c>
      <c r="J217" s="0" t="s">
        <v>257</v>
      </c>
    </row>
    <row r="218" customFormat="false" ht="15" hidden="false" customHeight="false" outlineLevel="0" collapsed="false">
      <c r="C218" s="546" t="s">
        <v>583</v>
      </c>
      <c r="D218" s="543" t="n">
        <v>1.12949</v>
      </c>
      <c r="G218" s="547" t="e">
        <f aca="false">D218*E218/F218</f>
        <v>#DIV/0!</v>
      </c>
      <c r="H218" s="0" t="str">
        <f aca="false">VLOOKUP(C218,'11.Region'!$B$22:$E$243,4,FALSE())</f>
        <v>Oceania</v>
      </c>
      <c r="I218" s="548" t="n">
        <f aca="false">$K$200</f>
        <v>1.35633083709363</v>
      </c>
      <c r="J218" s="0" t="s">
        <v>257</v>
      </c>
    </row>
    <row r="219" customFormat="false" ht="15" hidden="false" customHeight="false" outlineLevel="0" collapsed="false">
      <c r="C219" s="546" t="s">
        <v>704</v>
      </c>
      <c r="D219" s="543" t="n">
        <v>1.12949</v>
      </c>
      <c r="G219" s="547" t="e">
        <f aca="false">D219*E219/F219</f>
        <v>#DIV/0!</v>
      </c>
      <c r="H219" s="0" t="e">
        <f aca="false">VLOOKUP(C219,'11.Region'!$B$22:$E$243,4,FALSE())</f>
        <v>#N/A</v>
      </c>
    </row>
    <row r="220" customFormat="false" ht="15" hidden="false" customHeight="false" outlineLevel="0" collapsed="false">
      <c r="C220" s="546" t="s">
        <v>705</v>
      </c>
      <c r="D220" s="543" t="n">
        <v>1.12949</v>
      </c>
      <c r="G220" s="547" t="e">
        <f aca="false">D220*E220/F220</f>
        <v>#DIV/0!</v>
      </c>
      <c r="H220" s="0" t="e">
        <f aca="false">VLOOKUP(C220,'11.Region'!$B$22:$E$243,4,FALSE())</f>
        <v>#N/A</v>
      </c>
    </row>
    <row r="221" customFormat="false" ht="15" hidden="false" customHeight="false" outlineLevel="0" collapsed="false">
      <c r="C221" s="546" t="s">
        <v>706</v>
      </c>
      <c r="D221" s="543" t="n">
        <v>1.12949</v>
      </c>
      <c r="G221" s="547" t="e">
        <f aca="false">D221*E221/F221</f>
        <v>#DIV/0!</v>
      </c>
      <c r="H221" s="0" t="e">
        <f aca="false">VLOOKUP(C221,'11.Region'!$B$22:$E$243,4,FALSE())</f>
        <v>#N/A</v>
      </c>
    </row>
    <row r="222" customFormat="false" ht="15" hidden="false" customHeight="false" outlineLevel="0" collapsed="false">
      <c r="C222" s="546" t="s">
        <v>707</v>
      </c>
      <c r="D222" s="543" t="n">
        <v>1.12949</v>
      </c>
      <c r="G222" s="547" t="e">
        <f aca="false">D222*E222/F222</f>
        <v>#DIV/0!</v>
      </c>
      <c r="H222" s="0" t="e">
        <f aca="false">VLOOKUP(C222,'11.Region'!$B$22:$E$243,4,FALSE())</f>
        <v>#N/A</v>
      </c>
    </row>
    <row r="223" customFormat="false" ht="15" hidden="false" customHeight="false" outlineLevel="0" collapsed="false">
      <c r="C223" s="546" t="s">
        <v>708</v>
      </c>
      <c r="D223" s="543" t="n">
        <v>1.12949</v>
      </c>
      <c r="G223" s="547" t="e">
        <f aca="false">D223*E223/F223</f>
        <v>#DIV/0!</v>
      </c>
      <c r="H223" s="0" t="e">
        <f aca="false">VLOOKUP(C223,'11.Region'!$B$22:$E$243,4,FALSE())</f>
        <v>#N/A</v>
      </c>
    </row>
    <row r="224" customFormat="false" ht="15" hidden="false" customHeight="false" outlineLevel="0" collapsed="false">
      <c r="C224" s="546" t="s">
        <v>709</v>
      </c>
      <c r="D224" s="543" t="n">
        <v>1.12949</v>
      </c>
      <c r="G224" s="547" t="e">
        <f aca="false">D224*E224/F224</f>
        <v>#DIV/0!</v>
      </c>
      <c r="H224" s="0" t="e">
        <f aca="false">VLOOKUP(C224,'11.Region'!$B$22:$E$243,4,FALSE())</f>
        <v>#N/A</v>
      </c>
    </row>
    <row r="225" customFormat="false" ht="15" hidden="false" customHeight="false" outlineLevel="0" collapsed="false">
      <c r="C225" s="546" t="s">
        <v>710</v>
      </c>
      <c r="D225" s="543" t="n">
        <v>1.12949</v>
      </c>
      <c r="G225" s="547" t="e">
        <f aca="false">D225*E225/F225</f>
        <v>#DIV/0!</v>
      </c>
      <c r="H225" s="0" t="e">
        <f aca="false">VLOOKUP(C225,'11.Region'!$B$22:$E$243,4,FALSE())</f>
        <v>#N/A</v>
      </c>
    </row>
    <row r="226" customFormat="false" ht="15" hidden="false" customHeight="false" outlineLevel="0" collapsed="false">
      <c r="C226" s="546" t="s">
        <v>711</v>
      </c>
      <c r="D226" s="543" t="n">
        <v>1.12949</v>
      </c>
      <c r="G226" s="547" t="e">
        <f aca="false">D226*E226/F226</f>
        <v>#DIV/0!</v>
      </c>
      <c r="H226" s="0" t="e">
        <f aca="false">VLOOKUP(C226,'11.Region'!$B$22:$E$243,4,FALSE())</f>
        <v>#N/A</v>
      </c>
    </row>
    <row r="227" customFormat="false" ht="15" hidden="false" customHeight="false" outlineLevel="0" collapsed="false">
      <c r="C227" s="546" t="s">
        <v>712</v>
      </c>
      <c r="D227" s="543" t="n">
        <v>1.12949</v>
      </c>
      <c r="G227" s="547" t="e">
        <f aca="false">D227*E227/F227</f>
        <v>#DIV/0!</v>
      </c>
      <c r="H227" s="0" t="e">
        <f aca="false">VLOOKUP(C227,'11.Region'!$B$22:$E$243,4,FALSE())</f>
        <v>#N/A</v>
      </c>
    </row>
    <row r="228" customFormat="false" ht="15" hidden="false" customHeight="false" outlineLevel="0" collapsed="false">
      <c r="C228" s="546" t="s">
        <v>713</v>
      </c>
      <c r="D228" s="543" t="n">
        <v>1.12949</v>
      </c>
      <c r="G228" s="547" t="e">
        <f aca="false">D228*E228/F228</f>
        <v>#DIV/0!</v>
      </c>
      <c r="H228" s="0" t="e">
        <f aca="false">VLOOKUP(C228,'11.Region'!$B$22:$E$243,4,FALSE())</f>
        <v>#N/A</v>
      </c>
    </row>
    <row r="229" customFormat="false" ht="15" hidden="false" customHeight="false" outlineLevel="0" collapsed="false">
      <c r="C229" s="546" t="s">
        <v>714</v>
      </c>
      <c r="D229" s="543" t="n">
        <v>1.12949</v>
      </c>
      <c r="G229" s="547" t="e">
        <f aca="false">D229*E229/F229</f>
        <v>#DIV/0!</v>
      </c>
      <c r="H229" s="0" t="e">
        <f aca="false">VLOOKUP(C229,'11.Region'!$B$22:$E$243,4,FALSE())</f>
        <v>#N/A</v>
      </c>
    </row>
    <row r="230" customFormat="false" ht="15" hidden="false" customHeight="false" outlineLevel="0" collapsed="false">
      <c r="C230" s="546" t="s">
        <v>715</v>
      </c>
      <c r="D230" s="543" t="n">
        <v>1.12949</v>
      </c>
      <c r="G230" s="547" t="e">
        <f aca="false">D230*E230/F230</f>
        <v>#DIV/0!</v>
      </c>
      <c r="H230" s="0" t="e">
        <f aca="false">VLOOKUP(C230,'11.Region'!$B$22:$E$243,4,FALSE())</f>
        <v>#N/A</v>
      </c>
    </row>
    <row r="231" customFormat="false" ht="15" hidden="false" customHeight="false" outlineLevel="0" collapsed="false">
      <c r="C231" s="546" t="s">
        <v>716</v>
      </c>
      <c r="D231" s="543" t="n">
        <v>1.12949</v>
      </c>
      <c r="G231" s="547" t="e">
        <f aca="false">D231*E231/F231</f>
        <v>#DIV/0!</v>
      </c>
      <c r="H231" s="0" t="e">
        <f aca="false">VLOOKUP(C231,'11.Region'!$B$22:$E$243,4,FALSE())</f>
        <v>#N/A</v>
      </c>
    </row>
    <row r="232" customFormat="false" ht="15" hidden="false" customHeight="false" outlineLevel="0" collapsed="false">
      <c r="C232" s="546" t="s">
        <v>717</v>
      </c>
      <c r="D232" s="543" t="n">
        <v>1.12949</v>
      </c>
      <c r="G232" s="547" t="e">
        <f aca="false">D232*E232/F232</f>
        <v>#DIV/0!</v>
      </c>
      <c r="H232" s="0" t="e">
        <f aca="false">VLOOKUP(C232,'11.Region'!$B$22:$E$243,4,FALSE())</f>
        <v>#N/A</v>
      </c>
    </row>
    <row r="233" customFormat="false" ht="15" hidden="false" customHeight="false" outlineLevel="0" collapsed="false">
      <c r="C233" s="546" t="s">
        <v>718</v>
      </c>
      <c r="D233" s="543" t="n">
        <v>1.12949</v>
      </c>
      <c r="G233" s="547" t="e">
        <f aca="false">D233*E233/F233</f>
        <v>#DIV/0!</v>
      </c>
      <c r="H233" s="0" t="e">
        <f aca="false">VLOOKUP(C233,'11.Region'!$B$22:$E$243,4,FALSE())</f>
        <v>#N/A</v>
      </c>
    </row>
    <row r="234" customFormat="false" ht="15" hidden="false" customHeight="false" outlineLevel="0" collapsed="false">
      <c r="C234" s="546" t="s">
        <v>719</v>
      </c>
      <c r="D234" s="543" t="n">
        <v>1.12949</v>
      </c>
      <c r="G234" s="547" t="e">
        <f aca="false">D234*E234/F234</f>
        <v>#DIV/0!</v>
      </c>
      <c r="H234" s="0" t="e">
        <f aca="false">VLOOKUP(C234,'11.Region'!$B$22:$E$243,4,FALSE())</f>
        <v>#N/A</v>
      </c>
    </row>
    <row r="235" customFormat="false" ht="15" hidden="false" customHeight="false" outlineLevel="0" collapsed="false">
      <c r="C235" s="546" t="s">
        <v>720</v>
      </c>
      <c r="D235" s="543" t="n">
        <v>1.12949</v>
      </c>
      <c r="G235" s="547" t="e">
        <f aca="false">D235*E235/F235</f>
        <v>#DIV/0!</v>
      </c>
      <c r="H235" s="0" t="e">
        <f aca="false">VLOOKUP(C235,'11.Region'!$B$22:$E$243,4,FALSE())</f>
        <v>#N/A</v>
      </c>
    </row>
    <row r="236" customFormat="false" ht="15" hidden="false" customHeight="false" outlineLevel="0" collapsed="false">
      <c r="C236" s="546" t="s">
        <v>721</v>
      </c>
      <c r="D236" s="543" t="n">
        <v>1.12949</v>
      </c>
      <c r="G236" s="547" t="e">
        <f aca="false">D236*E236/F236</f>
        <v>#DIV/0!</v>
      </c>
      <c r="H236" s="0" t="e">
        <f aca="false">VLOOKUP(C236,'11.Region'!$B$22:$E$243,4,FALSE())</f>
        <v>#N/A</v>
      </c>
    </row>
    <row r="237" customFormat="false" ht="15" hidden="false" customHeight="false" outlineLevel="0" collapsed="false">
      <c r="C237" s="546" t="s">
        <v>722</v>
      </c>
      <c r="D237" s="543" t="n">
        <v>1.12949</v>
      </c>
      <c r="G237" s="547" t="e">
        <f aca="false">D237*E237/F237</f>
        <v>#DIV/0!</v>
      </c>
      <c r="H237" s="0" t="e">
        <f aca="false">VLOOKUP(C237,'11.Region'!$B$22:$E$243,4,FALSE())</f>
        <v>#N/A</v>
      </c>
    </row>
    <row r="238" customFormat="false" ht="15" hidden="false" customHeight="false" outlineLevel="0" collapsed="false">
      <c r="C238" s="546" t="s">
        <v>723</v>
      </c>
      <c r="D238" s="543" t="n">
        <v>1.12949</v>
      </c>
      <c r="G238" s="547" t="e">
        <f aca="false">D238*E238/F238</f>
        <v>#DIV/0!</v>
      </c>
      <c r="H238" s="0" t="e">
        <f aca="false">VLOOKUP(C238,'11.Region'!$B$22:$E$243,4,FALSE())</f>
        <v>#N/A</v>
      </c>
    </row>
    <row r="239" customFormat="false" ht="15" hidden="false" customHeight="false" outlineLevel="0" collapsed="false">
      <c r="C239" s="546" t="s">
        <v>724</v>
      </c>
      <c r="D239" s="543" t="n">
        <v>1.12949</v>
      </c>
      <c r="G239" s="547" t="e">
        <f aca="false">D239*E239/F239</f>
        <v>#DIV/0!</v>
      </c>
      <c r="H239" s="0" t="e">
        <f aca="false">VLOOKUP(C239,'11.Region'!$B$22:$E$243,4,FALSE())</f>
        <v>#N/A</v>
      </c>
    </row>
    <row r="240" customFormat="false" ht="15" hidden="false" customHeight="false" outlineLevel="0" collapsed="false">
      <c r="C240" s="546" t="s">
        <v>725</v>
      </c>
      <c r="D240" s="543" t="n">
        <v>1.12949</v>
      </c>
      <c r="G240" s="547" t="e">
        <f aca="false">D240*E240/F240</f>
        <v>#DIV/0!</v>
      </c>
      <c r="H240" s="0" t="e">
        <f aca="false">VLOOKUP(C240,'11.Region'!$B$22:$E$243,4,FALSE())</f>
        <v>#N/A</v>
      </c>
    </row>
    <row r="241" customFormat="false" ht="15" hidden="false" customHeight="false" outlineLevel="0" collapsed="false">
      <c r="C241" s="546" t="s">
        <v>726</v>
      </c>
      <c r="D241" s="543" t="n">
        <v>1.12949</v>
      </c>
      <c r="G241" s="547" t="e">
        <f aca="false">D241*E241/F241</f>
        <v>#DIV/0!</v>
      </c>
      <c r="H241" s="0" t="e">
        <f aca="false">VLOOKUP(C241,'11.Region'!$B$22:$E$243,4,FALSE())</f>
        <v>#N/A</v>
      </c>
    </row>
    <row r="242" customFormat="false" ht="15" hidden="false" customHeight="false" outlineLevel="0" collapsed="false">
      <c r="C242" s="546" t="s">
        <v>727</v>
      </c>
      <c r="D242" s="543" t="n">
        <v>1.12949</v>
      </c>
      <c r="G242" s="547" t="e">
        <f aca="false">D242*E242/F242</f>
        <v>#DIV/0!</v>
      </c>
      <c r="H242" s="0" t="e">
        <f aca="false">VLOOKUP(C242,'11.Region'!$B$22:$E$243,4,FALSE())</f>
        <v>#N/A</v>
      </c>
    </row>
    <row r="243" customFormat="false" ht="15" hidden="false" customHeight="false" outlineLevel="0" collapsed="false">
      <c r="C243" s="546" t="s">
        <v>728</v>
      </c>
      <c r="D243" s="543" t="n">
        <v>1.12949</v>
      </c>
      <c r="G243" s="547" t="e">
        <f aca="false">D243*E243/F243</f>
        <v>#DIV/0!</v>
      </c>
      <c r="H243" s="0" t="e">
        <f aca="false">VLOOKUP(C243,'11.Region'!$B$22:$E$243,4,FALSE())</f>
        <v>#N/A</v>
      </c>
    </row>
    <row r="244" customFormat="false" ht="15" hidden="false" customHeight="false" outlineLevel="0" collapsed="false">
      <c r="C244" s="546" t="s">
        <v>729</v>
      </c>
      <c r="D244" s="543" t="n">
        <v>1.12949</v>
      </c>
      <c r="G244" s="547" t="e">
        <f aca="false">D244*E244/F244</f>
        <v>#DIV/0!</v>
      </c>
      <c r="H244" s="0" t="e">
        <f aca="false">VLOOKUP(C244,'11.Region'!$B$22:$E$243,4,FALSE())</f>
        <v>#N/A</v>
      </c>
    </row>
    <row r="245" customFormat="false" ht="15" hidden="false" customHeight="false" outlineLevel="0" collapsed="false">
      <c r="C245" s="546" t="s">
        <v>730</v>
      </c>
      <c r="D245" s="543" t="n">
        <v>1.12949</v>
      </c>
      <c r="G245" s="547" t="e">
        <f aca="false">D245*E245/F245</f>
        <v>#DIV/0!</v>
      </c>
      <c r="H245" s="0" t="e">
        <f aca="false">VLOOKUP(C245,'11.Region'!$B$22:$E$243,4,FALSE())</f>
        <v>#N/A</v>
      </c>
    </row>
    <row r="246" customFormat="false" ht="15" hidden="false" customHeight="false" outlineLevel="0" collapsed="false">
      <c r="C246" s="546" t="s">
        <v>731</v>
      </c>
      <c r="D246" s="543" t="n">
        <v>1.12949</v>
      </c>
      <c r="G246" s="547" t="e">
        <f aca="false">D246*E246/F246</f>
        <v>#DIV/0!</v>
      </c>
      <c r="H246" s="0" t="e">
        <f aca="false">VLOOKUP(C246,'11.Region'!$B$22:$E$243,4,FALSE())</f>
        <v>#N/A</v>
      </c>
    </row>
    <row r="247" customFormat="false" ht="15" hidden="false" customHeight="false" outlineLevel="0" collapsed="false">
      <c r="C247" s="546" t="s">
        <v>732</v>
      </c>
      <c r="D247" s="543" t="n">
        <v>1.12949</v>
      </c>
      <c r="G247" s="547" t="e">
        <f aca="false">D247*E247/F247</f>
        <v>#DIV/0!</v>
      </c>
      <c r="H247" s="0" t="e">
        <f aca="false">VLOOKUP(C247,'11.Region'!$B$22:$E$243,4,FALSE())</f>
        <v>#N/A</v>
      </c>
    </row>
    <row r="248" customFormat="false" ht="15" hidden="false" customHeight="false" outlineLevel="0" collapsed="false">
      <c r="C248" s="546" t="s">
        <v>733</v>
      </c>
      <c r="D248" s="543" t="n">
        <v>1.12949</v>
      </c>
      <c r="G248" s="547" t="e">
        <f aca="false">D248*E248/F248</f>
        <v>#DIV/0!</v>
      </c>
      <c r="H248" s="0" t="e">
        <f aca="false">VLOOKUP(C248,'11.Region'!$B$22:$E$243,4,FALSE())</f>
        <v>#N/A</v>
      </c>
    </row>
    <row r="249" customFormat="false" ht="15" hidden="false" customHeight="false" outlineLevel="0" collapsed="false">
      <c r="C249" s="546" t="s">
        <v>734</v>
      </c>
      <c r="D249" s="543" t="n">
        <v>1.12949</v>
      </c>
      <c r="G249" s="547" t="e">
        <f aca="false">D249*E249/F249</f>
        <v>#DIV/0!</v>
      </c>
      <c r="H249" s="0" t="e">
        <f aca="false">VLOOKUP(C249,'11.Region'!$B$22:$E$243,4,FALSE())</f>
        <v>#N/A</v>
      </c>
    </row>
    <row r="250" customFormat="false" ht="15" hidden="false" customHeight="false" outlineLevel="0" collapsed="false">
      <c r="C250" s="546" t="s">
        <v>735</v>
      </c>
      <c r="D250" s="543" t="n">
        <v>1.12949</v>
      </c>
      <c r="G250" s="547" t="e">
        <f aca="false">D250*E250/F250</f>
        <v>#DIV/0!</v>
      </c>
      <c r="H250" s="0" t="e">
        <f aca="false">VLOOKUP(C250,'11.Region'!$B$22:$E$243,4,FALSE())</f>
        <v>#N/A</v>
      </c>
    </row>
    <row r="251" customFormat="false" ht="15" hidden="false" customHeight="false" outlineLevel="0" collapsed="false">
      <c r="C251" s="546" t="s">
        <v>736</v>
      </c>
      <c r="D251" s="543" t="n">
        <v>1.12949</v>
      </c>
      <c r="G251" s="547" t="e">
        <f aca="false">D251*E251/F251</f>
        <v>#DIV/0!</v>
      </c>
      <c r="H251" s="0" t="e">
        <f aca="false">VLOOKUP(C251,'11.Region'!$B$22:$E$243,4,FALSE())</f>
        <v>#N/A</v>
      </c>
    </row>
    <row r="252" customFormat="false" ht="15" hidden="false" customHeight="false" outlineLevel="0" collapsed="false">
      <c r="C252" s="546" t="s">
        <v>737</v>
      </c>
      <c r="D252" s="543" t="n">
        <v>1.12949</v>
      </c>
      <c r="G252" s="547" t="e">
        <f aca="false">D252*E252/F252</f>
        <v>#DIV/0!</v>
      </c>
      <c r="H252" s="0" t="e">
        <f aca="false">VLOOKUP(C252,'11.Region'!$B$22:$E$243,4,FALSE())</f>
        <v>#N/A</v>
      </c>
    </row>
    <row r="253" customFormat="false" ht="15" hidden="false" customHeight="false" outlineLevel="0" collapsed="false">
      <c r="C253" s="546" t="s">
        <v>738</v>
      </c>
      <c r="D253" s="543" t="n">
        <v>1.12949</v>
      </c>
      <c r="G253" s="547" t="e">
        <f aca="false">D253*E253/F253</f>
        <v>#DIV/0!</v>
      </c>
      <c r="H253" s="0" t="e">
        <f aca="false">VLOOKUP(C253,'11.Region'!$B$22:$E$243,4,FALSE())</f>
        <v>#N/A</v>
      </c>
    </row>
    <row r="254" customFormat="false" ht="15" hidden="false" customHeight="false" outlineLevel="0" collapsed="false">
      <c r="C254" s="546" t="s">
        <v>739</v>
      </c>
      <c r="D254" s="543" t="n">
        <v>1.12949</v>
      </c>
      <c r="G254" s="547" t="e">
        <f aca="false">D254*E254/F254</f>
        <v>#DIV/0!</v>
      </c>
      <c r="H254" s="0" t="e">
        <f aca="false">VLOOKUP(C254,'11.Region'!$B$22:$E$243,4,FALSE())</f>
        <v>#N/A</v>
      </c>
    </row>
    <row r="255" customFormat="false" ht="15" hidden="false" customHeight="false" outlineLevel="0" collapsed="false">
      <c r="C255" s="546" t="s">
        <v>740</v>
      </c>
      <c r="D255" s="543" t="n">
        <v>1.12949</v>
      </c>
      <c r="G255" s="547" t="e">
        <f aca="false">D255*E255/F255</f>
        <v>#DIV/0!</v>
      </c>
      <c r="H255" s="0" t="e">
        <f aca="false">VLOOKUP(C255,'11.Region'!$B$22:$E$243,4,FALSE())</f>
        <v>#N/A</v>
      </c>
    </row>
    <row r="256" customFormat="false" ht="15" hidden="false" customHeight="false" outlineLevel="0" collapsed="false">
      <c r="C256" s="546" t="s">
        <v>741</v>
      </c>
      <c r="D256" s="543" t="n">
        <v>1.12949</v>
      </c>
      <c r="G256" s="547" t="e">
        <f aca="false">D256*E256/F256</f>
        <v>#DIV/0!</v>
      </c>
      <c r="H256" s="0" t="e">
        <f aca="false">VLOOKUP(C256,'11.Region'!$B$22:$E$243,4,FALSE())</f>
        <v>#N/A</v>
      </c>
    </row>
    <row r="257" customFormat="false" ht="15" hidden="false" customHeight="false" outlineLevel="0" collapsed="false">
      <c r="C257" s="546" t="s">
        <v>742</v>
      </c>
      <c r="D257" s="543" t="n">
        <v>1.12949</v>
      </c>
      <c r="G257" s="547" t="e">
        <f aca="false">D257*E257/F257</f>
        <v>#DIV/0!</v>
      </c>
      <c r="H257" s="0" t="e">
        <f aca="false">VLOOKUP(C257,'11.Region'!$B$22:$E$243,4,FALSE())</f>
        <v>#N/A</v>
      </c>
    </row>
    <row r="258" customFormat="false" ht="15" hidden="false" customHeight="false" outlineLevel="0" collapsed="false">
      <c r="C258" s="546" t="s">
        <v>743</v>
      </c>
      <c r="D258" s="543" t="n">
        <v>1.12949</v>
      </c>
      <c r="G258" s="547" t="e">
        <f aca="false">D258*E258/F258</f>
        <v>#DIV/0!</v>
      </c>
      <c r="H258" s="0" t="e">
        <f aca="false">VLOOKUP(C258,'11.Region'!$B$22:$E$243,4,FALSE())</f>
        <v>#N/A</v>
      </c>
    </row>
    <row r="259" customFormat="false" ht="15" hidden="false" customHeight="false" outlineLevel="0" collapsed="false">
      <c r="C259" s="546" t="s">
        <v>744</v>
      </c>
      <c r="D259" s="543" t="n">
        <v>1.12949</v>
      </c>
      <c r="G259" s="547" t="e">
        <f aca="false">D259*E259/F259</f>
        <v>#DIV/0!</v>
      </c>
      <c r="H259" s="0" t="e">
        <f aca="false">VLOOKUP(C259,'11.Region'!$B$22:$E$243,4,FALSE())</f>
        <v>#N/A</v>
      </c>
    </row>
    <row r="260" customFormat="false" ht="15" hidden="false" customHeight="false" outlineLevel="0" collapsed="false">
      <c r="C260" s="546" t="s">
        <v>745</v>
      </c>
      <c r="D260" s="543" t="n">
        <v>1.12949</v>
      </c>
      <c r="G260" s="547" t="e">
        <f aca="false">D260*E260/F260</f>
        <v>#DIV/0!</v>
      </c>
      <c r="H260" s="0" t="e">
        <f aca="false">VLOOKUP(C260,'11.Region'!$B$22:$E$243,4,FALSE())</f>
        <v>#N/A</v>
      </c>
    </row>
    <row r="261" customFormat="false" ht="15" hidden="false" customHeight="false" outlineLevel="0" collapsed="false">
      <c r="C261" s="546" t="s">
        <v>746</v>
      </c>
      <c r="D261" s="543" t="n">
        <v>1.12949</v>
      </c>
      <c r="G261" s="547" t="e">
        <f aca="false">D261*E261/F261</f>
        <v>#DIV/0!</v>
      </c>
      <c r="H261" s="0" t="e">
        <f aca="false">VLOOKUP(C261,'11.Region'!$B$22:$E$243,4,FALSE())</f>
        <v>#N/A</v>
      </c>
    </row>
    <row r="262" customFormat="false" ht="15" hidden="false" customHeight="false" outlineLevel="0" collapsed="false">
      <c r="C262" s="546" t="s">
        <v>747</v>
      </c>
      <c r="D262" s="543" t="n">
        <v>1.12949</v>
      </c>
      <c r="G262" s="547" t="e">
        <f aca="false">D262*E262/F262</f>
        <v>#DIV/0!</v>
      </c>
      <c r="H262" s="0" t="e">
        <f aca="false">VLOOKUP(C262,'11.Region'!$B$22:$E$243,4,FALSE())</f>
        <v>#N/A</v>
      </c>
    </row>
    <row r="263" customFormat="false" ht="15" hidden="false" customHeight="false" outlineLevel="0" collapsed="false">
      <c r="C263" s="546" t="s">
        <v>748</v>
      </c>
      <c r="D263" s="543" t="n">
        <v>1.12949</v>
      </c>
      <c r="G263" s="547" t="e">
        <f aca="false">D263*E263/F263</f>
        <v>#DIV/0!</v>
      </c>
      <c r="H263" s="0" t="e">
        <f aca="false">VLOOKUP(C263,'11.Region'!$B$22:$E$243,4,FALSE())</f>
        <v>#N/A</v>
      </c>
    </row>
    <row r="264" customFormat="false" ht="15" hidden="false" customHeight="false" outlineLevel="0" collapsed="false">
      <c r="C264" s="546" t="s">
        <v>749</v>
      </c>
      <c r="D264" s="543" t="n">
        <v>1.12949</v>
      </c>
      <c r="G264" s="547" t="e">
        <f aca="false">D264*E264/F264</f>
        <v>#DIV/0!</v>
      </c>
      <c r="H264" s="0" t="e">
        <f aca="false">VLOOKUP(C264,'11.Region'!$B$22:$E$243,4,FALSE())</f>
        <v>#N/A</v>
      </c>
    </row>
    <row r="265" customFormat="false" ht="15" hidden="false" customHeight="false" outlineLevel="0" collapsed="false">
      <c r="C265" s="546" t="s">
        <v>750</v>
      </c>
      <c r="D265" s="543" t="n">
        <v>1.12949</v>
      </c>
      <c r="G265" s="547" t="e">
        <f aca="false">D265*E265/F265</f>
        <v>#DIV/0!</v>
      </c>
      <c r="H265" s="0" t="e">
        <f aca="false">VLOOKUP(C265,'11.Region'!$B$22:$E$243,4,FALSE())</f>
        <v>#N/A</v>
      </c>
    </row>
    <row r="266" customFormat="false" ht="15" hidden="false" customHeight="false" outlineLevel="0" collapsed="false">
      <c r="C266" s="546" t="s">
        <v>698</v>
      </c>
      <c r="D266" s="543" t="n">
        <v>1.12949</v>
      </c>
      <c r="G266" s="547" t="e">
        <f aca="false">D266*E266/F266</f>
        <v>#DIV/0!</v>
      </c>
      <c r="H266" s="0" t="e">
        <f aca="false">VLOOKUP(C266,'11.Region'!$B$22:$E$243,4,FALSE())</f>
        <v>#N/A</v>
      </c>
    </row>
    <row r="267" customFormat="false" ht="15" hidden="false" customHeight="false" outlineLevel="0" collapsed="false">
      <c r="G267" s="547"/>
    </row>
    <row r="268" customFormat="false" ht="15" hidden="false" customHeight="false" outlineLevel="0" collapsed="false">
      <c r="G268" s="547"/>
    </row>
    <row r="269" customFormat="false" ht="15" hidden="false" customHeight="false" outlineLevel="0" collapsed="false">
      <c r="G269" s="547"/>
    </row>
    <row r="270" customFormat="false" ht="15" hidden="false" customHeight="false" outlineLevel="0" collapsed="false">
      <c r="G270" s="547"/>
    </row>
    <row r="271" customFormat="false" ht="15" hidden="false" customHeight="false" outlineLevel="0" collapsed="false">
      <c r="G271" s="547"/>
    </row>
    <row r="272" customFormat="false" ht="15" hidden="false" customHeight="false" outlineLevel="0" collapsed="false">
      <c r="G272" s="547"/>
    </row>
    <row r="273" customFormat="false" ht="15" hidden="false" customHeight="false" outlineLevel="0" collapsed="false">
      <c r="G273" s="547"/>
    </row>
  </sheetData>
  <sheetProtection algorithmName="SHA-512" hashValue="goSm9MveTHA62rQbVp7cgnvbT12OIJmfPODfpurdPw50hi0pvrPfRgSaE0+6n3Pavht1bSsd0zZgUMlvJYlZiQ==" saltValue="i0BwoAIDBQUPlXZ3oLLBEQ==" spinCount="100000" sheet="true" objects="true" scenarios="true"/>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535"/>
  <sheetViews>
    <sheetView showFormulas="false" showGridLines="true" showRowColHeaders="true" showZeros="true" rightToLeft="false" tabSelected="false" showOutlineSymbols="true" defaultGridColor="true" view="normal" topLeftCell="C93" colorId="64" zoomScale="75" zoomScaleNormal="75" zoomScalePageLayoutView="100" workbookViewId="0">
      <pane xSplit="0" ySplit="5229" topLeftCell="A243" activePane="topLeft" state="split"/>
      <selection pane="topLeft" activeCell="D103" activeCellId="0" sqref="D103"/>
      <selection pane="bottomLeft" activeCell="C243" activeCellId="0" sqref="C243"/>
    </sheetView>
  </sheetViews>
  <sheetFormatPr defaultColWidth="10.30078125" defaultRowHeight="14.1" zeroHeight="false" outlineLevelRow="0" outlineLevelCol="0"/>
  <cols>
    <col collapsed="false" customWidth="false" hidden="false" outlineLevel="0" max="1" min="1" style="555" width="10.29"/>
    <col collapsed="false" customWidth="true" hidden="false" outlineLevel="0" max="2" min="2" style="555" width="27.29"/>
    <col collapsed="false" customWidth="false" hidden="false" outlineLevel="0" max="3" min="3" style="555" width="10.29"/>
    <col collapsed="false" customWidth="true" hidden="false" outlineLevel="0" max="4" min="4" style="555" width="56.7"/>
    <col collapsed="false" customWidth="true" hidden="false" outlineLevel="0" max="5" min="5" style="555" width="43"/>
    <col collapsed="false" customWidth="true" hidden="false" outlineLevel="0" max="6" min="6" style="556" width="43"/>
    <col collapsed="false" customWidth="true" hidden="false" outlineLevel="0" max="11" min="7" style="555" width="43"/>
    <col collapsed="false" customWidth="false" hidden="false" outlineLevel="0" max="12" min="12" style="555" width="10.29"/>
    <col collapsed="false" customWidth="false" hidden="false" outlineLevel="0" max="13" min="13" style="557" width="10.29"/>
    <col collapsed="false" customWidth="false" hidden="false" outlineLevel="0" max="1024" min="14" style="555" width="10.29"/>
  </cols>
  <sheetData>
    <row r="1" customFormat="false" ht="20.1" hidden="false" customHeight="true" outlineLevel="0" collapsed="false">
      <c r="C1" s="558" t="n">
        <f aca="false">VLOOKUP('0. Intro'!B1,'12.lan'!B2:C12,2,FALSE())</f>
        <v>3</v>
      </c>
      <c r="D1" s="559" t="n">
        <f aca="false">HLOOKUP($C$1,$E$1:$X$4910,ROW(D1))</f>
        <v>3</v>
      </c>
      <c r="E1" s="555" t="n">
        <v>1</v>
      </c>
      <c r="F1" s="556" t="n">
        <v>2</v>
      </c>
      <c r="G1" s="555" t="n">
        <v>3</v>
      </c>
      <c r="H1" s="555" t="n">
        <v>4</v>
      </c>
      <c r="I1" s="555" t="n">
        <v>5</v>
      </c>
      <c r="J1" s="555" t="n">
        <v>6</v>
      </c>
      <c r="K1" s="555" t="n">
        <v>7</v>
      </c>
    </row>
    <row r="2" customFormat="false" ht="14.1" hidden="false" customHeight="true" outlineLevel="0" collapsed="false">
      <c r="A2" s="555" t="n">
        <v>3</v>
      </c>
      <c r="B2" s="555" t="s">
        <v>0</v>
      </c>
      <c r="C2" s="555" t="n">
        <f aca="false">A2</f>
        <v>3</v>
      </c>
      <c r="D2" s="559" t="str">
        <f aca="false">HLOOKUP($C$1,$E$1:$X$4910,ROW(D2))</f>
        <v>English</v>
      </c>
      <c r="E2" s="560" t="s">
        <v>751</v>
      </c>
      <c r="F2" s="560" t="s">
        <v>752</v>
      </c>
      <c r="G2" s="561" t="s">
        <v>753</v>
      </c>
      <c r="H2" s="562" t="s">
        <v>754</v>
      </c>
      <c r="I2" s="560" t="s">
        <v>755</v>
      </c>
      <c r="J2" s="560" t="s">
        <v>756</v>
      </c>
      <c r="K2" s="560" t="s">
        <v>757</v>
      </c>
    </row>
    <row r="3" customFormat="false" ht="14.1" hidden="false" customHeight="true" outlineLevel="0" collapsed="false">
      <c r="A3" s="555" t="n">
        <v>1</v>
      </c>
      <c r="B3" s="556" t="s">
        <v>751</v>
      </c>
      <c r="C3" s="555" t="n">
        <f aca="false">A3</f>
        <v>1</v>
      </c>
      <c r="D3" s="559" t="n">
        <f aca="false">HLOOKUP($C$1,$E$1:$X$4910,ROW(D3))</f>
        <v>0</v>
      </c>
      <c r="E3" s="556"/>
      <c r="G3" s="563"/>
      <c r="H3" s="556"/>
      <c r="I3" s="556"/>
      <c r="J3" s="556"/>
    </row>
    <row r="4" customFormat="false" ht="15.75" hidden="false" customHeight="true" outlineLevel="0" collapsed="false">
      <c r="A4" s="555" t="n">
        <v>2</v>
      </c>
      <c r="B4" s="556" t="s">
        <v>752</v>
      </c>
      <c r="C4" s="555" t="n">
        <f aca="false">A4</f>
        <v>2</v>
      </c>
      <c r="D4" s="559" t="str">
        <f aca="false">HLOOKUP($C$1,$E$1:$X$4910,ROW(D4))</f>
        <v>BALANCE SHEET CALCULATOR</v>
      </c>
      <c r="E4" s="556" t="s">
        <v>758</v>
      </c>
      <c r="F4" s="564" t="s">
        <v>759</v>
      </c>
      <c r="G4" s="563" t="s">
        <v>760</v>
      </c>
      <c r="H4" s="556" t="s">
        <v>761</v>
      </c>
      <c r="I4" s="556" t="str">
        <f aca="false">"[fr]"&amp;E4</f>
        <v>[fr]GEMEINWOHL-RECHNER</v>
      </c>
      <c r="J4" s="556" t="str">
        <f aca="false">"[pt]"&amp;E4</f>
        <v>[pt]GEMEINWOHL-RECHNER</v>
      </c>
      <c r="K4" s="556" t="str">
        <f aca="false">"[gr]"&amp;E4</f>
        <v>[gr]GEMEINWOHL-RECHNER</v>
      </c>
    </row>
    <row r="5" customFormat="false" ht="15.75" hidden="false" customHeight="true" outlineLevel="0" collapsed="false">
      <c r="A5" s="555" t="n">
        <v>3</v>
      </c>
      <c r="B5" s="556" t="s">
        <v>753</v>
      </c>
      <c r="C5" s="555" t="n">
        <f aca="false">A5</f>
        <v>3</v>
      </c>
      <c r="D5" s="559" t="str">
        <f aca="false">HLOOKUP($C$1,$E$1:$X$4910,ROW(D5))</f>
        <v>© ECG</v>
      </c>
      <c r="E5" s="556" t="s">
        <v>762</v>
      </c>
      <c r="F5" s="564" t="s">
        <v>763</v>
      </c>
      <c r="G5" s="563" t="s">
        <v>764</v>
      </c>
      <c r="H5" s="556" t="s">
        <v>765</v>
      </c>
      <c r="I5" s="556" t="str">
        <f aca="false">"[fr]"&amp;E5</f>
        <v>[fr]© GWÖ</v>
      </c>
      <c r="J5" s="556" t="str">
        <f aca="false">"[pt]"&amp;E5</f>
        <v>[pt]© GWÖ</v>
      </c>
      <c r="K5" s="556" t="str">
        <f aca="false">"[gr]"&amp;E5</f>
        <v>[gr]© GWÖ</v>
      </c>
    </row>
    <row r="6" customFormat="false" ht="15.75" hidden="false" customHeight="true" outlineLevel="0" collapsed="false">
      <c r="A6" s="555" t="n">
        <v>4</v>
      </c>
      <c r="B6" s="562" t="s">
        <v>754</v>
      </c>
      <c r="C6" s="555" t="n">
        <f aca="false">A6</f>
        <v>4</v>
      </c>
      <c r="D6" s="559" t="str">
        <f aca="false">HLOOKUP($C$1,$E$1:$X$4910,ROW(D6))</f>
        <v>Version</v>
      </c>
      <c r="E6" s="565" t="s">
        <v>766</v>
      </c>
      <c r="F6" s="565" t="s">
        <v>767</v>
      </c>
      <c r="G6" s="566" t="s">
        <v>766</v>
      </c>
      <c r="H6" s="556" t="s">
        <v>768</v>
      </c>
      <c r="I6" s="556" t="str">
        <f aca="false">"[fr]"&amp;E6</f>
        <v>[fr]Version</v>
      </c>
      <c r="J6" s="556" t="s">
        <v>769</v>
      </c>
      <c r="K6" s="556" t="str">
        <f aca="false">"[gr]"&amp;E6</f>
        <v>[gr]Version</v>
      </c>
    </row>
    <row r="7" customFormat="false" ht="15.75" hidden="false" customHeight="true" outlineLevel="0" collapsed="false">
      <c r="A7" s="555" t="n">
        <v>5</v>
      </c>
      <c r="B7" s="556" t="s">
        <v>755</v>
      </c>
      <c r="C7" s="555" t="n">
        <f aca="false">A7</f>
        <v>5</v>
      </c>
      <c r="D7" s="559" t="str">
        <f aca="false">HLOOKUP($C$1,$E$1:$X$4910,ROW(D7))</f>
        <v>WELCOME!</v>
      </c>
      <c r="E7" s="564" t="s">
        <v>770</v>
      </c>
      <c r="F7" s="564" t="s">
        <v>771</v>
      </c>
      <c r="G7" s="567" t="s">
        <v>772</v>
      </c>
      <c r="H7" s="556" t="s">
        <v>773</v>
      </c>
      <c r="I7" s="556" t="str">
        <f aca="false">"[fr]"&amp;E7</f>
        <v>[fr]HERZLICH WILLKOMMEN!</v>
      </c>
      <c r="J7" s="556" t="str">
        <f aca="false">"[pt]"&amp;E7</f>
        <v>[pt]HERZLICH WILLKOMMEN!</v>
      </c>
      <c r="K7" s="556" t="str">
        <f aca="false">"[gr]"&amp;E7</f>
        <v>[gr]HERZLICH WILLKOMMEN!</v>
      </c>
    </row>
    <row r="8" customFormat="false" ht="81.6" hidden="false" customHeight="true" outlineLevel="0" collapsed="false">
      <c r="A8" s="555" t="n">
        <v>6</v>
      </c>
      <c r="B8" s="556" t="s">
        <v>756</v>
      </c>
      <c r="C8" s="555" t="n">
        <f aca="false">A8</f>
        <v>6</v>
      </c>
      <c r="D8" s="559" t="str">
        <f aca="false">HLOOKUP($C$1,$E$1:$X$4910,ROW(D8))</f>
        <v>This tool is for calculating the overall Common Good Points for your company or organisation. It complements the Common Good Report and has to be used together with it. Have fun with your calculation!</v>
      </c>
      <c r="E8" s="556" t="s">
        <v>774</v>
      </c>
      <c r="F8" s="556" t="s">
        <v>775</v>
      </c>
      <c r="G8" s="568" t="s">
        <v>776</v>
      </c>
      <c r="H8" s="556" t="s">
        <v>777</v>
      </c>
      <c r="I8" s="556" t="str">
        <f aca="false">"[fr]"&amp;E8</f>
        <v>[fr]Dieses Tool dient zur Berechnung der Gemeinwohl-Punkte Ihres Unternehmens. Es ist eine Ergänzung zum Gemeinwohlbericht und muss gemeinsam mit diesem genutzt werden.  Wir wünschen gutes Gelingen!</v>
      </c>
      <c r="J8" s="556" t="str">
        <f aca="false">"[pt]"&amp;E8</f>
        <v>[pt]Dieses Tool dient zur Berechnung der Gemeinwohl-Punkte Ihres Unternehmens. Es ist eine Ergänzung zum Gemeinwohlbericht und muss gemeinsam mit diesem genutzt werden.  Wir wünschen gutes Gelingen!</v>
      </c>
      <c r="K8" s="556" t="str">
        <f aca="false">"[gr]"&amp;E8</f>
        <v>[gr]Dieses Tool dient zur Berechnung der Gemeinwohl-Punkte Ihres Unternehmens. Es ist eine Ergänzung zum Gemeinwohlbericht und muss gemeinsam mit diesem genutzt werden.  Wir wünschen gutes Gelingen!</v>
      </c>
    </row>
    <row r="9" customFormat="false" ht="28.5" hidden="false" customHeight="true" outlineLevel="0" collapsed="false">
      <c r="A9" s="555" t="n">
        <v>7</v>
      </c>
      <c r="B9" s="556" t="s">
        <v>757</v>
      </c>
      <c r="C9" s="555" t="n">
        <f aca="false">A9</f>
        <v>7</v>
      </c>
      <c r="D9" s="559" t="str">
        <f aca="false">HLOOKUP($C$1,$E$1:$X$4910,ROW(D9))</f>
        <v>HOW TO USE THE BALANCE SHEET CALCULATOR:</v>
      </c>
      <c r="E9" s="556" t="s">
        <v>778</v>
      </c>
      <c r="F9" s="556" t="s">
        <v>779</v>
      </c>
      <c r="G9" s="563" t="s">
        <v>780</v>
      </c>
      <c r="H9" s="556" t="s">
        <v>781</v>
      </c>
      <c r="I9" s="556" t="str">
        <f aca="false">"[fr]"&amp;E9</f>
        <v>[fr]WIE SIE DEN BILANZ-RECHNER RICHTIG VERWENDEN:</v>
      </c>
      <c r="J9" s="556" t="str">
        <f aca="false">"[pt]"&amp;E9</f>
        <v>[pt]WIE SIE DEN BILANZ-RECHNER RICHTIG VERWENDEN:</v>
      </c>
      <c r="K9" s="556" t="str">
        <f aca="false">"[gr]"&amp;E9</f>
        <v>[gr]WIE SIE DEN BILANZ-RECHNER RICHTIG VERWENDEN:</v>
      </c>
    </row>
    <row r="10" customFormat="false" ht="15.75" hidden="false" customHeight="true" outlineLevel="0" collapsed="false">
      <c r="A10" s="555" t="n">
        <v>8</v>
      </c>
      <c r="B10" s="556"/>
      <c r="C10" s="555" t="n">
        <f aca="false">A10</f>
        <v>8</v>
      </c>
      <c r="D10" s="559" t="str">
        <f aca="false">HLOOKUP($C$1,$E$1:$X$4910,ROW(D10))</f>
        <v>1. General</v>
      </c>
      <c r="E10" s="556" t="s">
        <v>782</v>
      </c>
      <c r="F10" s="564" t="s">
        <v>783</v>
      </c>
      <c r="G10" s="563" t="s">
        <v>784</v>
      </c>
      <c r="H10" s="556" t="s">
        <v>784</v>
      </c>
      <c r="I10" s="556" t="str">
        <f aca="false">"[fr]"&amp;E10</f>
        <v>[fr]1. Allgemeines</v>
      </c>
      <c r="J10" s="556" t="str">
        <f aca="false">"[pt]"&amp;E10</f>
        <v>[pt]1. Allgemeines</v>
      </c>
      <c r="K10" s="556" t="str">
        <f aca="false">"[gr]"&amp;E10</f>
        <v>[gr]1. Allgemeines</v>
      </c>
    </row>
    <row r="11" customFormat="false" ht="28.5" hidden="false" customHeight="true" outlineLevel="0" collapsed="false">
      <c r="A11" s="555" t="n">
        <v>9</v>
      </c>
      <c r="B11" s="556"/>
      <c r="C11" s="555" t="n">
        <f aca="false">A11</f>
        <v>9</v>
      </c>
      <c r="D11" s="559" t="str">
        <f aca="false">HLOOKUP($C$1,$E$1:$X$4910,ROW(D11))</f>
        <v>You can enter general information about your company or organisation in this section.</v>
      </c>
      <c r="E11" s="556" t="s">
        <v>785</v>
      </c>
      <c r="F11" s="556" t="s">
        <v>786</v>
      </c>
      <c r="G11" s="563" t="s">
        <v>787</v>
      </c>
      <c r="H11" s="556" t="s">
        <v>788</v>
      </c>
      <c r="I11" s="556" t="str">
        <f aca="false">"[fr]"&amp;E11</f>
        <v>[fr]Hier können Sie allgemeinen Angaben zu Ihrem Unternehmen machen.</v>
      </c>
      <c r="J11" s="556" t="str">
        <f aca="false">"[pt]"&amp;E11</f>
        <v>[pt]Hier können Sie allgemeinen Angaben zu Ihrem Unternehmen machen.</v>
      </c>
      <c r="K11" s="556" t="str">
        <f aca="false">"[gr]"&amp;E11</f>
        <v>[gr]Hier können Sie allgemeinen Angaben zu Ihrem Unternehmen machen.</v>
      </c>
    </row>
    <row r="12" customFormat="false" ht="41.85" hidden="false" customHeight="true" outlineLevel="0" collapsed="false">
      <c r="A12" s="555" t="n">
        <v>10</v>
      </c>
      <c r="B12" s="556"/>
      <c r="C12" s="555" t="n">
        <f aca="false">A12</f>
        <v>10</v>
      </c>
      <c r="D12" s="559" t="str">
        <f aca="false">HLOOKUP($C$1,$E$1:$X$4910,ROW(D12))</f>
        <v>All fields in this section must be completed as they are essential for the weighting of each theme.</v>
      </c>
      <c r="E12" s="556" t="s">
        <v>789</v>
      </c>
      <c r="F12" s="556" t="s">
        <v>790</v>
      </c>
      <c r="G12" s="563" t="s">
        <v>791</v>
      </c>
      <c r="H12" s="556" t="s">
        <v>792</v>
      </c>
      <c r="I12" s="556" t="str">
        <f aca="false">"[fr]"&amp;E12</f>
        <v>[fr]Hier müssen alle geforderten Kenngrößen eingetragen werden, da diese für die Gewichtung der Themen essentiell sind. </v>
      </c>
      <c r="J12" s="556" t="str">
        <f aca="false">"[pt]"&amp;E12</f>
        <v>[pt]Hier müssen alle geforderten Kenngrößen eingetragen werden, da diese für die Gewichtung der Themen essentiell sind. </v>
      </c>
      <c r="K12" s="556" t="str">
        <f aca="false">"[gr]"&amp;E12</f>
        <v>[gr]Hier müssen alle geforderten Kenngrößen eingetragen werden, da diese für die Gewichtung der Themen essentiell sind. </v>
      </c>
    </row>
    <row r="13" customFormat="false" ht="54.75" hidden="false" customHeight="true" outlineLevel="0" collapsed="false">
      <c r="A13" s="555" t="n">
        <v>11</v>
      </c>
      <c r="B13" s="556"/>
      <c r="C13" s="569"/>
      <c r="D13" s="559" t="str">
        <f aca="false">HLOOKUP($C$1,$E$1:$X$4910,ROW(D13))</f>
        <v>For each theme (A1, B1, ...) a certain maximum number of Common Good Points can be achieved. To evaluate how many points your company scores, follow these steps:</v>
      </c>
      <c r="E13" s="556" t="s">
        <v>793</v>
      </c>
      <c r="F13" s="556" t="s">
        <v>794</v>
      </c>
      <c r="G13" s="563" t="s">
        <v>795</v>
      </c>
      <c r="H13" s="556" t="s">
        <v>796</v>
      </c>
      <c r="I13" s="556" t="str">
        <f aca="false">"[fr]"&amp;E13</f>
        <v>[fr]Für jedes Thema (A1, B1, ...) kann eine bestimmte Anzahl an Gemeinwohl-Punkten erreicht werden. Um zu ermitteln, wie viele davon Ihr Unternehmen erhält, gehen Sie wie folgt vor:</v>
      </c>
      <c r="J13" s="556" t="str">
        <f aca="false">"[pt]"&amp;E13</f>
        <v>[pt]Für jedes Thema (A1, B1, ...) kann eine bestimmte Anzahl an Gemeinwohl-Punkten erreicht werden. Um zu ermitteln, wie viele davon Ihr Unternehmen erhält, gehen Sie wie folgt vor:</v>
      </c>
      <c r="K13" s="556" t="str">
        <f aca="false">"[gr]"&amp;E13</f>
        <v>[gr]Für jedes Thema (A1, B1, ...) kann eine bestimmte Anzahl an Gemeinwohl-Punkten erreicht werden. Um zu ermitteln, wie viele davon Ihr Unternehmen erhält, gehen Sie wie folgt vor:</v>
      </c>
    </row>
    <row r="14" customFormat="false" ht="68.25" hidden="false" customHeight="true" outlineLevel="0" collapsed="false">
      <c r="A14" s="555" t="n">
        <v>12</v>
      </c>
      <c r="B14" s="556"/>
      <c r="C14" s="569"/>
      <c r="D14" s="559" t="str">
        <f aca="false">HLOOKUP($C$1,$E$1:$X$4910,ROW(D14))</f>
        <v>Describe the current status and potential for improvement for the various aspects under key headings. Use the workbook as a reference. (This is optional and not absolutely necessary for the calculation.)</v>
      </c>
      <c r="E14" s="570" t="s">
        <v>797</v>
      </c>
      <c r="F14" s="556" t="s">
        <v>798</v>
      </c>
      <c r="G14" s="563" t="s">
        <v>799</v>
      </c>
      <c r="H14" s="556" t="s">
        <v>800</v>
      </c>
      <c r="I14" s="556" t="str">
        <f aca="false">"[fr]"&amp;E14</f>
        <v>[fr]Beschreiben Sie auf Basis des Arbeitsbuchs in wenigen Stichworten Ist-Zustand und Verbesserungspotenzial für die verschiedenen Aspekte (optional, ist für die Berechnung nicht unbedingt notwendig).</v>
      </c>
      <c r="J14" s="556" t="str">
        <f aca="false">"[pt]"&amp;E14</f>
        <v>[pt]Beschreiben Sie auf Basis des Arbeitsbuchs in wenigen Stichworten Ist-Zustand und Verbesserungspotenzial für die verschiedenen Aspekte (optional, ist für die Berechnung nicht unbedingt notwendig).</v>
      </c>
      <c r="K14" s="556" t="str">
        <f aca="false">"[gr]"&amp;E14</f>
        <v>[gr]Beschreiben Sie auf Basis des Arbeitsbuchs in wenigen Stichworten Ist-Zustand und Verbesserungspotenzial für die verschiedenen Aspekte (optional, ist für die Berechnung nicht unbedingt notwendig).</v>
      </c>
    </row>
    <row r="15" customFormat="false" ht="94.5" hidden="false" customHeight="true" outlineLevel="0" collapsed="false">
      <c r="A15" s="555" t="n">
        <v>13</v>
      </c>
      <c r="B15" s="556"/>
      <c r="C15" s="569"/>
      <c r="D15" s="559" t="str">
        <f aca="false">HLOOKUP($C$1,$E$1:$X$4910,ROW(D15))</f>
        <v>Based on these descriptions, indicate on a scale of 0-10 how far you consider the respective aspect is met (Achievement level). The criteria for choosing the correct value can be found in the Workbook.</v>
      </c>
      <c r="E15" s="571" t="s">
        <v>801</v>
      </c>
      <c r="F15" s="556" t="s">
        <v>802</v>
      </c>
      <c r="G15" s="563" t="s">
        <v>803</v>
      </c>
      <c r="H15" s="556" t="s">
        <v>804</v>
      </c>
      <c r="I15" s="556" t="str">
        <f aca="false">"[fr]"&amp;E15</f>
        <v>[fr]Geben Sie - aufbauend auf diesen Beschreibungen - an, entsprechend welchem Skalenwert (0-10) Ihrer Meinung nach der jeweilige Aspekt erfüllt ist (Spalte "Erfüllungsgrad"). Anhaltspunkte zur Wahl des "richtigen" Skalenwerts finden Sie wiederum im Arbeitsbuch.</v>
      </c>
      <c r="J15" s="556" t="str">
        <f aca="false">"[pt]"&amp;E15</f>
        <v>[pt]Geben Sie - aufbauend auf diesen Beschreibungen - an, entsprechend welchem Skalenwert (0-10) Ihrer Meinung nach der jeweilige Aspekt erfüllt ist (Spalte "Erfüllungsgrad"). Anhaltspunkte zur Wahl des "richtigen" Skalenwerts finden Sie wiederum im Arbeitsbuch.</v>
      </c>
      <c r="K15" s="556" t="str">
        <f aca="false">"[gr]"&amp;E15</f>
        <v>[gr]Geben Sie - aufbauend auf diesen Beschreibungen - an, entsprechend welchem Skalenwert (0-10) Ihrer Meinung nach der jeweilige Aspekt erfüllt ist (Spalte "Erfüllungsgrad"). Anhaltspunkte zur Wahl des "richtigen" Skalenwerts finden Sie wiederum im Arbeitsbuch.</v>
      </c>
    </row>
    <row r="16" customFormat="false" ht="44.1" hidden="false" customHeight="true" outlineLevel="0" collapsed="false">
      <c r="A16" s="555" t="n">
        <v>14</v>
      </c>
      <c r="B16" s="556"/>
      <c r="C16" s="569"/>
      <c r="D16" s="559" t="str">
        <f aca="false">HLOOKUP($C$1,$E$1:$X$4910,ROW(D16))</f>
        <v>Negative aspects are allocated negative points according to the descriptions set out in the Workbook.</v>
      </c>
      <c r="E16" s="556" t="s">
        <v>805</v>
      </c>
      <c r="F16" s="556" t="s">
        <v>806</v>
      </c>
      <c r="G16" s="563" t="s">
        <v>807</v>
      </c>
      <c r="H16" s="556" t="s">
        <v>808</v>
      </c>
      <c r="I16" s="556" t="str">
        <f aca="false">"[fr]"&amp;E16</f>
        <v>[fr]Für die Bewertung der Negativaspekte geben Sie Punktewerte entsprechend der Beschreibungen im Arbeitsbuch an. </v>
      </c>
      <c r="J16" s="556" t="str">
        <f aca="false">"[pt]"&amp;E16</f>
        <v>[pt]Für die Bewertung der Negativaspekte geben Sie Punktewerte entsprechend der Beschreibungen im Arbeitsbuch an. </v>
      </c>
      <c r="K16" s="556" t="str">
        <f aca="false">"[gr]"&amp;E16</f>
        <v>[gr]Für die Bewertung der Negativaspekte geben Sie Punktewerte entsprechend der Beschreibungen im Arbeitsbuch an. </v>
      </c>
    </row>
    <row r="17" customFormat="false" ht="124.5" hidden="false" customHeight="true" outlineLevel="0" collapsed="false">
      <c r="A17" s="555" t="n">
        <v>15</v>
      </c>
      <c r="B17" s="556"/>
      <c r="C17" s="569"/>
      <c r="D17" s="559" t="str">
        <f aca="false">HLOOKUP($C$1,$E$1:$X$4910,ROW(D17))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572" t="s">
        <v>809</v>
      </c>
      <c r="F17" s="556" t="s">
        <v>810</v>
      </c>
      <c r="G17" s="563" t="s">
        <v>811</v>
      </c>
      <c r="H17" s="556" t="s">
        <v>812</v>
      </c>
      <c r="I17" s="556" t="str">
        <f aca="false">"[fr]"&amp;E17</f>
        <v>[fr]Sie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J17" s="556" t="str">
        <f aca="false">"[pt]"&amp;E17</f>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556" t="str">
        <f aca="false">"[gr]"&amp;E17</f>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customFormat="false" ht="54.75" hidden="false" customHeight="true" outlineLevel="0" collapsed="false">
      <c r="A18" s="555" t="n">
        <v>16</v>
      </c>
      <c r="B18" s="556"/>
      <c r="C18" s="569"/>
      <c r="D18" s="559" t="str">
        <f aca="false">HLOOKUP($C$1,$E$1:$X$4910,ROW(D18))</f>
        <v>The calculation automatically weights each theme’s total value against the data in the ‘Company details’ section and rounds it to a whole-number multiple of 10%.</v>
      </c>
      <c r="E18" s="556" t="s">
        <v>813</v>
      </c>
      <c r="F18" s="556" t="s">
        <v>814</v>
      </c>
      <c r="G18" s="563" t="s">
        <v>815</v>
      </c>
      <c r="H18" s="556" t="s">
        <v>816</v>
      </c>
      <c r="I18" s="556" t="str">
        <f aca="false">"[fr]"&amp;E18</f>
        <v>[fr]Bei der Berechnung werden die Gesamtwerte pro Thema automatisch entsprechend der Angaben im Faktenblatt gewichtet und auf ganzzahlige Vielfache von 10% gerundet.</v>
      </c>
      <c r="J18" s="556" t="str">
        <f aca="false">"[pt]"&amp;E18</f>
        <v>[pt]Bei der Berechnung werden die Gesamtwerte pro Thema automatisch entsprechend der Angaben im Faktenblatt gewichtet und auf ganzzahlige Vielfache von 10% gerundet.</v>
      </c>
      <c r="K18" s="556" t="str">
        <f aca="false">"[gr]"&amp;E18</f>
        <v>[gr]Bei der Berechnung werden die Gesamtwerte pro Thema automatisch entsprechend der Angaben im Faktenblatt gewichtet und auf ganzzahlige Vielfache von 10% gerundet.</v>
      </c>
    </row>
    <row r="19" customFormat="false" ht="28.5" hidden="false" customHeight="true" outlineLevel="0" collapsed="false">
      <c r="B19" s="556"/>
      <c r="C19" s="569"/>
      <c r="D19" s="559" t="str">
        <f aca="false">HLOOKUP($C$1,$E$1:$X$4910,ROW(D19))</f>
        <v>The ECG-Matrix displays your result in a table.</v>
      </c>
      <c r="E19" s="556" t="s">
        <v>817</v>
      </c>
      <c r="F19" s="556" t="s">
        <v>818</v>
      </c>
      <c r="G19" s="563" t="s">
        <v>819</v>
      </c>
      <c r="H19" s="556" t="s">
        <v>820</v>
      </c>
      <c r="I19" s="556" t="str">
        <f aca="false">"[fr]"&amp;E19</f>
        <v>[fr]Die "GW-Matrix" bietet einen tabellarischen Überblick über Ihr Ergebnis.</v>
      </c>
      <c r="J19" s="556" t="str">
        <f aca="false">"[pt]"&amp;E19</f>
        <v>[pt]Die "GW-Matrix" bietet einen tabellarischen Überblick über Ihr Ergebnis.</v>
      </c>
      <c r="K19" s="556" t="str">
        <f aca="false">"[gr]"&amp;E19</f>
        <v>[gr]Die "GW-Matrix" bietet einen tabellarischen Überblick über Ihr Ergebnis.</v>
      </c>
    </row>
    <row r="20" customFormat="false" ht="41.85" hidden="false" customHeight="true" outlineLevel="0" collapsed="false">
      <c r="B20" s="569"/>
      <c r="C20" s="569"/>
      <c r="D20" s="559" t="str">
        <f aca="false">HLOOKUP($C$1,$E$1:$X$4910,ROW(D20))</f>
        <v>The ECG Matrix displays your result in a table.</v>
      </c>
      <c r="E20" s="556" t="s">
        <v>821</v>
      </c>
      <c r="F20" s="556" t="s">
        <v>822</v>
      </c>
      <c r="G20" s="563" t="s">
        <v>823</v>
      </c>
      <c r="H20" s="556" t="s">
        <v>824</v>
      </c>
      <c r="I20" s="556" t="str">
        <f aca="false">"[fr]"&amp;E20</f>
        <v>[fr]Die "GW-Matrix" bietet einen tabellarischen Blick auf Ihr Ergebnis.</v>
      </c>
      <c r="J20" s="556" t="str">
        <f aca="false">"[pt]"&amp;E20</f>
        <v>[pt]Die "GW-Matrix" bietet einen tabellarischen Blick auf Ihr Ergebnis.</v>
      </c>
      <c r="K20" s="556" t="str">
        <f aca="false">"[gr]"&amp;E20</f>
        <v>[gr]Die "GW-Matrix" bietet einen tabellarischen Blick auf Ihr Ergebnis.</v>
      </c>
    </row>
    <row r="21" customFormat="false" ht="41.85" hidden="false" customHeight="true" outlineLevel="0" collapsed="false">
      <c r="B21" s="569"/>
      <c r="C21" s="569"/>
      <c r="D21" s="559" t="str">
        <f aca="false">HLOOKUP($C$1,$E$1:$X$4910,ROW(D21))</f>
        <v>The values-star displays your result arranged by value as a graphic.</v>
      </c>
      <c r="E21" s="556" t="s">
        <v>825</v>
      </c>
      <c r="F21" s="556" t="s">
        <v>826</v>
      </c>
      <c r="G21" s="563" t="s">
        <v>827</v>
      </c>
      <c r="H21" s="556" t="s">
        <v>828</v>
      </c>
      <c r="I21" s="556" t="str">
        <f aca="false">"[fr]"&amp;E21</f>
        <v>[fr]Der "Werte-Stern" zeigt schließlich Ihr Ergebnis nach Werten gegliedert in graphischer Form.</v>
      </c>
      <c r="J21" s="556" t="str">
        <f aca="false">"[pt]"&amp;E21</f>
        <v>[pt]Der "Werte-Stern" zeigt schließlich Ihr Ergebnis nach Werten gegliedert in graphischer Form.</v>
      </c>
      <c r="K21" s="556" t="str">
        <f aca="false">"[gr]"&amp;E21</f>
        <v>[gr]Der "Werte-Stern" zeigt schließlich Ihr Ergebnis nach Werten gegliedert in graphischer Form.</v>
      </c>
    </row>
    <row r="22" customFormat="false" ht="41.85" hidden="false" customHeight="true" outlineLevel="0" collapsed="false">
      <c r="B22" s="569"/>
      <c r="C22" s="569"/>
      <c r="D22" s="559" t="str">
        <f aca="false">HLOOKUP($C$1,$E$1:$X$4910,ROW(D22))</f>
        <v>The group-star displays your result arranged by stakeholder as a graphic.</v>
      </c>
      <c r="E22" s="570" t="s">
        <v>829</v>
      </c>
      <c r="F22" s="556" t="s">
        <v>830</v>
      </c>
      <c r="G22" s="563" t="s">
        <v>831</v>
      </c>
      <c r="H22" s="556" t="s">
        <v>832</v>
      </c>
      <c r="I22" s="556" t="str">
        <f aca="false">"[fr]"&amp;E22</f>
        <v>[fr]Der "Gruppen-Stern" zeigt schließlich Ihr Ergebnis nach Berührungsgruppen gegliedert in graphischer Form.</v>
      </c>
      <c r="J22" s="556" t="str">
        <f aca="false">"[pt]"&amp;E22</f>
        <v>[pt]Der "Gruppen-Stern" zeigt schließlich Ihr Ergebnis nach Berührungsgruppen gegliedert in graphischer Form.</v>
      </c>
      <c r="K22" s="556" t="str">
        <f aca="false">"[gr]"&amp;E22</f>
        <v>[gr]Der "Gruppen-Stern" zeigt schließlich Ihr Ergebnis nach Berührungsgruppen gegliedert in graphischer Form.</v>
      </c>
    </row>
    <row r="23" customFormat="false" ht="28.5" hidden="false" customHeight="true" outlineLevel="0" collapsed="false">
      <c r="B23" s="569"/>
      <c r="C23" s="569"/>
      <c r="D23" s="559" t="str">
        <f aca="false">HLOOKUP($C$1,$E$1:$X$4910,ROW(D23))</f>
        <v>The theme-star displays the result of your themes as a graphic.</v>
      </c>
      <c r="E23" s="562" t="s">
        <v>833</v>
      </c>
      <c r="F23" s="556" t="s">
        <v>834</v>
      </c>
      <c r="G23" s="563" t="s">
        <v>835</v>
      </c>
      <c r="H23" s="556" t="s">
        <v>836</v>
      </c>
      <c r="I23" s="556" t="str">
        <f aca="false">"[fr]"&amp;E23</f>
        <v>[fr]Der "Themen-Stern" zeigt schließlich Ihr Ergebnis in allen Themen in graphischer Form.</v>
      </c>
      <c r="J23" s="556" t="str">
        <f aca="false">"[pt]"&amp;E23</f>
        <v>[pt]Der "Themen-Stern" zeigt schließlich Ihr Ergebnis in allen Themen in graphischer Form.</v>
      </c>
      <c r="K23" s="556" t="str">
        <f aca="false">"[gr]"&amp;E23</f>
        <v>[gr]Der "Themen-Stern" zeigt schließlich Ihr Ergebnis in allen Themen in graphischer Form.</v>
      </c>
    </row>
    <row r="24" customFormat="false" ht="28.5" hidden="false" customHeight="true" outlineLevel="0" collapsed="false">
      <c r="B24" s="569"/>
      <c r="C24" s="569"/>
      <c r="D24" s="559" t="str">
        <f aca="false">HLOOKUP($C$1,$E$1:$X$4910,ROW(D24))</f>
        <v>This is a description of the weighting model.</v>
      </c>
      <c r="E24" s="556" t="s">
        <v>837</v>
      </c>
      <c r="F24" s="556" t="s">
        <v>838</v>
      </c>
      <c r="G24" s="563" t="s">
        <v>839</v>
      </c>
      <c r="H24" s="556" t="s">
        <v>840</v>
      </c>
      <c r="I24" s="556" t="str">
        <f aca="false">"[fr]"&amp;E24</f>
        <v>[fr]Hier finden Sie eine Beschreibung der Gewichtungsmodelles. </v>
      </c>
      <c r="J24" s="556" t="str">
        <f aca="false">"[pt]"&amp;E24</f>
        <v>[pt]Hier finden Sie eine Beschreibung der Gewichtungsmodelles. </v>
      </c>
      <c r="K24" s="556" t="str">
        <f aca="false">"[gr]"&amp;E24</f>
        <v>[gr]Hier finden Sie eine Beschreibung der Gewichtungsmodelles. </v>
      </c>
    </row>
    <row r="25" customFormat="false" ht="41.85" hidden="false" customHeight="true" outlineLevel="0" collapsed="false">
      <c r="B25" s="569"/>
      <c r="C25" s="569"/>
      <c r="D25" s="559" t="str">
        <f aca="false">HLOOKUP($C$1,$E$1:$X$4910,ROW(D25))</f>
        <v>This is where the calculation determines how the individual stakeholder groups and themes are weighted.</v>
      </c>
      <c r="E25" s="556" t="s">
        <v>841</v>
      </c>
      <c r="F25" s="556" t="s">
        <v>842</v>
      </c>
      <c r="G25" s="563" t="s">
        <v>843</v>
      </c>
      <c r="H25" s="556" t="s">
        <v>844</v>
      </c>
      <c r="I25" s="556" t="str">
        <f aca="false">"[fr]"&amp;E25</f>
        <v>[fr]Hier erfolgt die Berechnung wie die einzelnen Berührungsgruppen und Themen gewichtet werden.</v>
      </c>
      <c r="J25" s="556" t="str">
        <f aca="false">"[pt]"&amp;E25</f>
        <v>[pt]Hier erfolgt die Berechnung wie die einzelnen Berührungsgruppen und Themen gewichtet werden.</v>
      </c>
      <c r="K25" s="556" t="str">
        <f aca="false">"[gr]"&amp;E25</f>
        <v>[gr]Hier erfolgt die Berechnung wie die einzelnen Berührungsgruppen und Themen gewichtet werden.</v>
      </c>
    </row>
    <row r="26" customFormat="false" ht="54.75" hidden="false" customHeight="true" outlineLevel="0" collapsed="false">
      <c r="B26" s="569"/>
      <c r="C26" s="569"/>
      <c r="D26" s="559" t="str">
        <f aca="false">HLOOKUP($C$1,$E$1:$X$4910,ROW(D26))</f>
        <v>This contains an assessment of the relevance of supply chains and environmental sustainability for all industry sectors, used in the weighting.</v>
      </c>
      <c r="E26" s="556" t="s">
        <v>845</v>
      </c>
      <c r="F26" s="556" t="s">
        <v>846</v>
      </c>
      <c r="G26" s="563" t="s">
        <v>847</v>
      </c>
      <c r="H26" s="556" t="s">
        <v>848</v>
      </c>
      <c r="I26" s="556" t="str">
        <f aca="false">"[fr]"&amp;E26</f>
        <v>[fr]Enthält Einschätzungen der Relevanz von Zulieferkette und ökologische Nachhaltigkeit für alle Branchen,, die für die Gewichtung herangezogen werden. </v>
      </c>
      <c r="J26" s="556" t="str">
        <f aca="false">"[pt]"&amp;E26</f>
        <v>[pt]Enthält Einschätzungen der Relevanz von Zulieferkette und ökologische Nachhaltigkeit für alle Branchen,, die für die Gewichtung herangezogen werden. </v>
      </c>
      <c r="K26" s="556" t="str">
        <f aca="false">"[gr]"&amp;E26</f>
        <v>[gr]Enthält Einschätzungen der Relevanz von Zulieferkette und ökologische Nachhaltigkeit für alle Branchen,, die für die Gewichtung herangezogen werden. </v>
      </c>
    </row>
    <row r="27" customFormat="false" ht="28.5" hidden="false" customHeight="true" outlineLevel="0" collapsed="false">
      <c r="B27" s="569"/>
      <c r="C27" s="569"/>
      <c r="D27" s="559" t="str">
        <f aca="false">HLOOKUP($C$1,$E$1:$X$4910,ROW(D27))</f>
        <v>This contains statistics for countries and regions used in the weighting.</v>
      </c>
      <c r="E27" s="556" t="s">
        <v>849</v>
      </c>
      <c r="F27" s="556" t="s">
        <v>850</v>
      </c>
      <c r="G27" s="563" t="s">
        <v>851</v>
      </c>
      <c r="H27" s="556" t="s">
        <v>852</v>
      </c>
      <c r="I27" s="556" t="str">
        <f aca="false">"[fr]"&amp;E27</f>
        <v>[fr]Enthält Statistiken für Länder und Regionen, die für die Gewichtung herangezogen werden. </v>
      </c>
      <c r="J27" s="556" t="str">
        <f aca="false">"[pt]"&amp;E27</f>
        <v>[pt]Enthält Statistiken für Länder und Regionen, die für die Gewichtung herangezogen werden. </v>
      </c>
      <c r="K27" s="556" t="str">
        <f aca="false">"[gr]"&amp;E27</f>
        <v>[gr]Enthält Statistiken für Länder und Regionen, die für die Gewichtung herangezogen werden. </v>
      </c>
    </row>
    <row r="28" customFormat="false" ht="15.75" hidden="false" customHeight="true" outlineLevel="0" collapsed="false">
      <c r="B28" s="569"/>
      <c r="C28" s="569"/>
      <c r="D28" s="559" t="str">
        <f aca="false">HLOOKUP($C$1,$E$1:$X$4910,ROW(D28))</f>
        <v>2. Company details</v>
      </c>
      <c r="E28" s="556" t="s">
        <v>853</v>
      </c>
      <c r="F28" s="556" t="s">
        <v>854</v>
      </c>
      <c r="G28" s="563" t="s">
        <v>855</v>
      </c>
      <c r="H28" s="556" t="s">
        <v>856</v>
      </c>
      <c r="I28" s="556" t="str">
        <f aca="false">"[fr]"&amp;E28</f>
        <v>[fr]2. Fakten zum Unternehmen</v>
      </c>
      <c r="J28" s="556" t="str">
        <f aca="false">"[pt]"&amp;E28</f>
        <v>[pt]2. Fakten zum Unternehmen</v>
      </c>
      <c r="K28" s="556" t="str">
        <f aca="false">"[gr]"&amp;E28</f>
        <v>[gr]2. Fakten zum Unternehmen</v>
      </c>
    </row>
    <row r="29" customFormat="false" ht="15.75" hidden="false" customHeight="true" outlineLevel="0" collapsed="false">
      <c r="B29" s="569"/>
      <c r="C29" s="569"/>
      <c r="D29" s="559" t="str">
        <f aca="false">HLOOKUP($C$1,$E$1:$X$4910,ROW(D29))</f>
        <v>3. Scoring</v>
      </c>
      <c r="E29" s="556" t="s">
        <v>857</v>
      </c>
      <c r="F29" s="556" t="s">
        <v>858</v>
      </c>
      <c r="G29" s="563" t="s">
        <v>859</v>
      </c>
      <c r="H29" s="556" t="s">
        <v>860</v>
      </c>
      <c r="I29" s="556" t="str">
        <f aca="false">"[fr]"&amp;E29</f>
        <v>[fr]3. Berechnung</v>
      </c>
      <c r="J29" s="556" t="str">
        <f aca="false">"[pt]"&amp;E29</f>
        <v>[pt]3. Berechnung</v>
      </c>
      <c r="K29" s="556" t="str">
        <f aca="false">"[gr]"&amp;E29</f>
        <v>[gr]3. Berechnung</v>
      </c>
    </row>
    <row r="30" customFormat="false" ht="15.75" hidden="false" customHeight="true" outlineLevel="0" collapsed="false">
      <c r="B30" s="569"/>
      <c r="C30" s="569"/>
      <c r="D30" s="559" t="str">
        <f aca="false">HLOOKUP($C$1,$E$1:$X$4910,ROW(D30))</f>
        <v>4. ECG Matrix</v>
      </c>
      <c r="E30" s="556" t="s">
        <v>861</v>
      </c>
      <c r="F30" s="556" t="s">
        <v>862</v>
      </c>
      <c r="G30" s="563" t="s">
        <v>863</v>
      </c>
      <c r="H30" s="556" t="s">
        <v>864</v>
      </c>
      <c r="I30" s="556" t="str">
        <f aca="false">"[fr]"&amp;E30</f>
        <v>[fr]4. GW-Matrix</v>
      </c>
      <c r="J30" s="556" t="str">
        <f aca="false">"[pt]"&amp;E30</f>
        <v>[pt]4. GW-Matrix</v>
      </c>
      <c r="K30" s="556" t="str">
        <f aca="false">"[gr]"&amp;E30</f>
        <v>[gr]4. GW-Matrix</v>
      </c>
    </row>
    <row r="31" customFormat="false" ht="15.75" hidden="false" customHeight="true" outlineLevel="0" collapsed="false">
      <c r="B31" s="569"/>
      <c r="C31" s="569"/>
      <c r="D31" s="559" t="str">
        <f aca="false">HLOOKUP($C$1,$E$1:$X$4910,ROW(D31))</f>
        <v>5. Values star</v>
      </c>
      <c r="E31" s="556" t="s">
        <v>865</v>
      </c>
      <c r="F31" s="556" t="s">
        <v>866</v>
      </c>
      <c r="G31" s="563" t="s">
        <v>867</v>
      </c>
      <c r="H31" s="556" t="s">
        <v>868</v>
      </c>
      <c r="I31" s="556" t="str">
        <f aca="false">"[fr]"&amp;E31</f>
        <v>[fr]5. Werte-Stern</v>
      </c>
      <c r="J31" s="556" t="str">
        <f aca="false">"[pt]"&amp;E31</f>
        <v>[pt]5. Werte-Stern</v>
      </c>
      <c r="K31" s="556" t="str">
        <f aca="false">"[gr]"&amp;E31</f>
        <v>[gr]5. Werte-Stern</v>
      </c>
    </row>
    <row r="32" customFormat="false" ht="15.75" hidden="false" customHeight="true" outlineLevel="0" collapsed="false">
      <c r="B32" s="569"/>
      <c r="C32" s="569"/>
      <c r="D32" s="559" t="str">
        <f aca="false">HLOOKUP($C$1,$E$1:$X$4910,ROW(D32))</f>
        <v>6. Group star</v>
      </c>
      <c r="E32" s="556" t="s">
        <v>869</v>
      </c>
      <c r="F32" s="556" t="s">
        <v>870</v>
      </c>
      <c r="G32" s="563" t="s">
        <v>871</v>
      </c>
      <c r="H32" s="556" t="s">
        <v>872</v>
      </c>
      <c r="I32" s="556" t="str">
        <f aca="false">"[fr]"&amp;E32</f>
        <v>[fr]6. Gruppen-Stern</v>
      </c>
      <c r="J32" s="556" t="str">
        <f aca="false">"[pt]"&amp;E32</f>
        <v>[pt]6. Gruppen-Stern</v>
      </c>
      <c r="K32" s="556" t="str">
        <f aca="false">"[gr]"&amp;E32</f>
        <v>[gr]6. Gruppen-Stern</v>
      </c>
    </row>
    <row r="33" customFormat="false" ht="15.75" hidden="false" customHeight="true" outlineLevel="0" collapsed="false">
      <c r="B33" s="569"/>
      <c r="C33" s="569"/>
      <c r="D33" s="559" t="str">
        <f aca="false">HLOOKUP($C$1,$E$1:$X$4910,ROW(D33))</f>
        <v>7. Theme star</v>
      </c>
      <c r="E33" s="556" t="s">
        <v>873</v>
      </c>
      <c r="F33" s="556" t="s">
        <v>874</v>
      </c>
      <c r="G33" s="563" t="s">
        <v>875</v>
      </c>
      <c r="H33" s="556" t="s">
        <v>876</v>
      </c>
      <c r="I33" s="556" t="str">
        <f aca="false">"[fr]"&amp;E33</f>
        <v>[fr]7. Themen-Stern</v>
      </c>
      <c r="J33" s="556" t="str">
        <f aca="false">"[pt]"&amp;E33</f>
        <v>[pt]7. Themen-Stern</v>
      </c>
      <c r="K33" s="556" t="str">
        <f aca="false">"[gr]"&amp;E33</f>
        <v>[gr]7. Themen-Stern</v>
      </c>
    </row>
    <row r="34" customFormat="false" ht="15.75" hidden="false" customHeight="true" outlineLevel="0" collapsed="false">
      <c r="B34" s="569"/>
      <c r="C34" s="569"/>
      <c r="D34" s="559" t="str">
        <f aca="false">HLOOKUP($C$1,$E$1:$X$4910,ROW(D34))</f>
        <v>8. Weighting model description</v>
      </c>
      <c r="E34" s="556" t="s">
        <v>877</v>
      </c>
      <c r="F34" s="556" t="s">
        <v>878</v>
      </c>
      <c r="G34" s="563" t="s">
        <v>879</v>
      </c>
      <c r="H34" s="556" t="s">
        <v>880</v>
      </c>
      <c r="I34" s="556" t="str">
        <f aca="false">"[fr]"&amp;E34</f>
        <v>[fr]8. Beschreibung Gewichtungsmodell</v>
      </c>
      <c r="J34" s="556" t="str">
        <f aca="false">"[pt]"&amp;E34</f>
        <v>[pt]8. Beschreibung Gewichtungsmodell</v>
      </c>
      <c r="K34" s="556" t="str">
        <f aca="false">"[gr]"&amp;E34</f>
        <v>[gr]8. Beschreibung Gewichtungsmodell</v>
      </c>
    </row>
    <row r="35" customFormat="false" ht="15.75" hidden="false" customHeight="true" outlineLevel="0" collapsed="false">
      <c r="B35" s="569"/>
      <c r="C35" s="569"/>
      <c r="D35" s="559" t="str">
        <f aca="false">HLOOKUP($C$1,$E$1:$X$4910,ROW(D35))</f>
        <v>9. Weighting (hidden)</v>
      </c>
      <c r="E35" s="556" t="s">
        <v>881</v>
      </c>
      <c r="F35" s="556" t="s">
        <v>882</v>
      </c>
      <c r="G35" s="563" t="s">
        <v>883</v>
      </c>
      <c r="H35" s="556" t="s">
        <v>884</v>
      </c>
      <c r="I35" s="556" t="str">
        <f aca="false">"[fr]"&amp;E35</f>
        <v>[fr]9. Gewichtung (ausgeblendet)</v>
      </c>
      <c r="J35" s="556" t="str">
        <f aca="false">"[pt]"&amp;E35</f>
        <v>[pt]9. Gewichtung (ausgeblendet)</v>
      </c>
      <c r="K35" s="556" t="str">
        <f aca="false">"[gr]"&amp;E35</f>
        <v>[gr]9. Gewichtung (ausgeblendet)</v>
      </c>
    </row>
    <row r="36" customFormat="false" ht="15.75" hidden="false" customHeight="true" outlineLevel="0" collapsed="false">
      <c r="B36" s="569"/>
      <c r="C36" s="569"/>
      <c r="D36" s="559" t="str">
        <f aca="false">HLOOKUP($C$1,$E$1:$X$4910,ROW(D36))</f>
        <v>10. Industry sectors (hidden)</v>
      </c>
      <c r="E36" s="556" t="s">
        <v>885</v>
      </c>
      <c r="F36" s="556" t="s">
        <v>886</v>
      </c>
      <c r="G36" s="563" t="s">
        <v>887</v>
      </c>
      <c r="H36" s="556" t="s">
        <v>888</v>
      </c>
      <c r="I36" s="556" t="str">
        <f aca="false">"[fr]"&amp;E36</f>
        <v>[fr]10. Branchen (ausgeblendet)</v>
      </c>
      <c r="J36" s="556" t="str">
        <f aca="false">"[pt]"&amp;E36</f>
        <v>[pt]10. Branchen (ausgeblendet)</v>
      </c>
      <c r="K36" s="556" t="str">
        <f aca="false">"[gr]"&amp;E36</f>
        <v>[gr]10. Branchen (ausgeblendet)</v>
      </c>
    </row>
    <row r="37" customFormat="false" ht="15.75" hidden="false" customHeight="true" outlineLevel="0" collapsed="false">
      <c r="B37" s="569"/>
      <c r="C37" s="569"/>
      <c r="D37" s="559" t="str">
        <f aca="false">HLOOKUP($C$1,$E$1:$X$4910,ROW(D37))</f>
        <v>11. Countries (hidden)</v>
      </c>
      <c r="E37" s="556" t="s">
        <v>889</v>
      </c>
      <c r="F37" s="556" t="s">
        <v>890</v>
      </c>
      <c r="G37" s="563" t="s">
        <v>891</v>
      </c>
      <c r="H37" s="556" t="s">
        <v>892</v>
      </c>
      <c r="I37" s="556" t="str">
        <f aca="false">"[fr]"&amp;E37</f>
        <v>[fr]11. Länder und Regionen (ausgeblendet)</v>
      </c>
      <c r="J37" s="556" t="str">
        <f aca="false">"[pt]"&amp;E37</f>
        <v>[pt]11. Länder und Regionen (ausgeblendet)</v>
      </c>
      <c r="K37" s="556" t="str">
        <f aca="false">"[gr]"&amp;E37</f>
        <v>[gr]11. Länder und Regionen (ausgeblendet)</v>
      </c>
    </row>
    <row r="38" customFormat="false" ht="15.75" hidden="false" customHeight="true" outlineLevel="0" collapsed="false">
      <c r="B38" s="569"/>
      <c r="C38" s="569"/>
      <c r="D38" s="559"/>
      <c r="E38" s="556"/>
      <c r="G38" s="563"/>
      <c r="H38" s="556"/>
      <c r="I38" s="556"/>
      <c r="J38" s="556"/>
      <c r="K38" s="556"/>
    </row>
    <row r="39" customFormat="false" ht="15.75" hidden="false" customHeight="true" outlineLevel="0" collapsed="false">
      <c r="B39" s="569"/>
      <c r="C39" s="569"/>
      <c r="D39" s="559" t="n">
        <f aca="false">HLOOKUP($C$1,$E$1:$X$4910,ROW(D39))</f>
        <v>0</v>
      </c>
      <c r="E39" s="556"/>
      <c r="G39" s="563"/>
      <c r="H39" s="556"/>
      <c r="I39" s="556"/>
      <c r="J39" s="556"/>
      <c r="K39" s="556"/>
    </row>
    <row r="40" customFormat="false" ht="15.75" hidden="false" customHeight="true" outlineLevel="0" collapsed="false">
      <c r="B40" s="569"/>
      <c r="C40" s="569"/>
      <c r="D40" s="559" t="str">
        <f aca="false">HLOOKUP($C$1,$E$1:$X$4910,ROW(D40))</f>
        <v>KEY</v>
      </c>
      <c r="E40" s="556" t="s">
        <v>893</v>
      </c>
      <c r="F40" s="556" t="s">
        <v>894</v>
      </c>
      <c r="G40" s="563" t="s">
        <v>895</v>
      </c>
      <c r="H40" s="556" t="s">
        <v>896</v>
      </c>
      <c r="I40" s="556" t="str">
        <f aca="false">"[fr]"&amp;E40</f>
        <v>[fr]LEGENDE</v>
      </c>
      <c r="J40" s="556" t="str">
        <f aca="false">"[pt]"&amp;E40</f>
        <v>[pt]LEGENDE</v>
      </c>
      <c r="K40" s="556" t="str">
        <f aca="false">"[gr]"&amp;E40</f>
        <v>[gr]LEGENDE</v>
      </c>
    </row>
    <row r="41" customFormat="false" ht="28.5" hidden="false" customHeight="true" outlineLevel="0" collapsed="false">
      <c r="B41" s="569"/>
      <c r="C41" s="569"/>
      <c r="D41" s="559" t="str">
        <f aca="false">HLOOKUP($C$1,$E$1:$X$4910,ROW(D41))</f>
        <v>Field is editable (green frame, dark green text)</v>
      </c>
      <c r="E41" s="556" t="s">
        <v>897</v>
      </c>
      <c r="F41" s="556" t="s">
        <v>898</v>
      </c>
      <c r="G41" s="563" t="s">
        <v>899</v>
      </c>
      <c r="H41" s="556" t="s">
        <v>900</v>
      </c>
      <c r="I41" s="556" t="str">
        <f aca="false">"[fr]"&amp;E41</f>
        <v>[fr]Feld ist beschreibbar (grüner Rahmen, dunkelgrüne Schrift)</v>
      </c>
      <c r="J41" s="556" t="str">
        <f aca="false">"[pt]"&amp;E41</f>
        <v>[pt]Feld ist beschreibbar (grüner Rahmen, dunkelgrüne Schrift)</v>
      </c>
      <c r="K41" s="556" t="str">
        <f aca="false">"[gr]"&amp;E41</f>
        <v>[gr]Feld ist beschreibbar (grüner Rahmen, dunkelgrüne Schrift)</v>
      </c>
    </row>
    <row r="42" customFormat="false" ht="28.5" hidden="false" customHeight="true" outlineLevel="0" collapsed="false">
      <c r="B42" s="569"/>
      <c r="C42" s="569"/>
      <c r="D42" s="559" t="str">
        <f aca="false">HLOOKUP($C$1,$E$1:$X$4910,ROW(D42))</f>
        <v>Feld is read-only (grey frame, dark grey text)</v>
      </c>
      <c r="E42" s="556" t="s">
        <v>901</v>
      </c>
      <c r="F42" s="556" t="s">
        <v>902</v>
      </c>
      <c r="G42" s="563" t="s">
        <v>903</v>
      </c>
      <c r="H42" s="556" t="s">
        <v>904</v>
      </c>
      <c r="I42" s="556" t="str">
        <f aca="false">"[fr]"&amp;E42</f>
        <v>[fr]Feld ist nicht beschreibbar (grauer Rahmen, dunkelgraue Schrift)</v>
      </c>
      <c r="J42" s="556" t="str">
        <f aca="false">"[pt]"&amp;E42</f>
        <v>[pt]Feld ist nicht beschreibbar (grauer Rahmen, dunkelgraue Schrift)</v>
      </c>
      <c r="K42" s="556" t="str">
        <f aca="false">"[gr]"&amp;E42</f>
        <v>[gr]Feld ist nicht beschreibbar (grauer Rahmen, dunkelgraue Schrift)</v>
      </c>
    </row>
    <row r="43" customFormat="false" ht="26.85" hidden="false" customHeight="true" outlineLevel="0" collapsed="false">
      <c r="B43" s="569"/>
      <c r="C43" s="569"/>
      <c r="D43" s="559" t="str">
        <f aca="false">HLOOKUP($C$1,$E$1:$X$4910,ROW(D43))</f>
        <v>non valid value entry (for correct calculation change value)</v>
      </c>
      <c r="E43" s="556" t="s">
        <v>905</v>
      </c>
      <c r="F43" s="556" t="s">
        <v>906</v>
      </c>
      <c r="G43" s="563" t="s">
        <v>907</v>
      </c>
      <c r="H43" s="556" t="s">
        <v>908</v>
      </c>
      <c r="I43" s="556" t="str">
        <f aca="false">"[fr]"&amp;E43</f>
        <v>[fr]unerlaubter Wert eingegeben (zur korrekten Berechnung Wert ändern)</v>
      </c>
      <c r="J43" s="556" t="str">
        <f aca="false">"[pt]"&amp;E43</f>
        <v>[pt]unerlaubter Wert eingegeben (zur korrekten Berechnung Wert ändern)</v>
      </c>
      <c r="K43" s="556" t="str">
        <f aca="false">"[gr]"&amp;E43</f>
        <v>[gr]unerlaubter Wert eingegeben (zur korrekten Berechnung Wert ändern)</v>
      </c>
    </row>
    <row r="44" customFormat="false" ht="26.85" hidden="false" customHeight="true" outlineLevel="0" collapsed="false">
      <c r="B44" s="569"/>
      <c r="C44" s="569"/>
      <c r="D44" s="559" t="str">
        <f aca="false">HLOOKUP($C$1,$E$1:$X$4910,ROW(D44))</f>
        <v>Values are not consistent</v>
      </c>
      <c r="E44" s="556" t="s">
        <v>909</v>
      </c>
      <c r="F44" s="556" t="s">
        <v>909</v>
      </c>
      <c r="G44" s="563" t="s">
        <v>910</v>
      </c>
      <c r="H44" s="556" t="s">
        <v>911</v>
      </c>
      <c r="I44" s="556" t="str">
        <f aca="false">"[fr]"&amp;E44</f>
        <v>[fr]fehlerhafte Eingabe</v>
      </c>
      <c r="J44" s="556" t="str">
        <f aca="false">"[pt]"&amp;E44</f>
        <v>[pt]fehlerhafte Eingabe</v>
      </c>
      <c r="K44" s="556" t="str">
        <f aca="false">"[gr]"&amp;E44</f>
        <v>[gr]fehlerhafte Eingabe</v>
      </c>
    </row>
    <row r="45" customFormat="false" ht="44.1" hidden="false" customHeight="true" outlineLevel="0" collapsed="false">
      <c r="B45" s="569"/>
      <c r="C45" s="569"/>
      <c r="D45" s="559" t="n">
        <f aca="false">HLOOKUP($C$1,$E$1:$X$4910,ROW(D45))</f>
        <v>0</v>
      </c>
      <c r="E45" s="556"/>
      <c r="G45" s="563"/>
      <c r="H45" s="556"/>
      <c r="I45" s="556"/>
      <c r="J45" s="556"/>
      <c r="K45" s="556"/>
    </row>
    <row r="46" customFormat="false" ht="26.85" hidden="false" customHeight="true" outlineLevel="0" collapsed="false">
      <c r="B46" s="569"/>
      <c r="C46" s="569"/>
      <c r="D46" s="559" t="n">
        <f aca="false">HLOOKUP($C$1,$E$1:$X$4910,ROW(D46))</f>
        <v>0</v>
      </c>
      <c r="E46" s="556"/>
      <c r="G46" s="563"/>
      <c r="H46" s="556"/>
      <c r="I46" s="556"/>
      <c r="J46" s="556"/>
      <c r="K46" s="556"/>
    </row>
    <row r="47" customFormat="false" ht="38.25" hidden="false" customHeight="true" outlineLevel="0" collapsed="false">
      <c r="B47" s="569"/>
      <c r="C47" s="569"/>
      <c r="D47" s="559" t="n">
        <f aca="false">HLOOKUP($C$1,$E$1:$X$4910,ROW(D47))</f>
        <v>0</v>
      </c>
      <c r="E47" s="556"/>
      <c r="G47" s="563"/>
      <c r="H47" s="556"/>
      <c r="I47" s="556"/>
      <c r="J47" s="556"/>
      <c r="K47" s="556"/>
    </row>
    <row r="48" customFormat="false" ht="26.85" hidden="false" customHeight="true" outlineLevel="0" collapsed="false">
      <c r="B48" s="569"/>
      <c r="C48" s="569"/>
      <c r="D48" s="559" t="n">
        <f aca="false">HLOOKUP($C$1,$E$1:$X$4910,ROW(D48))</f>
        <v>0</v>
      </c>
      <c r="E48" s="556"/>
      <c r="G48" s="563"/>
      <c r="H48" s="556"/>
      <c r="I48" s="556"/>
      <c r="J48" s="556"/>
      <c r="K48" s="556"/>
    </row>
    <row r="49" customFormat="false" ht="26.85" hidden="false" customHeight="true" outlineLevel="0" collapsed="false">
      <c r="B49" s="569"/>
      <c r="C49" s="569"/>
      <c r="D49" s="559" t="n">
        <f aca="false">HLOOKUP($C$1,$E$1:$X$4910,ROW(D49))</f>
        <v>0</v>
      </c>
      <c r="E49" s="556"/>
      <c r="G49" s="563"/>
      <c r="H49" s="556"/>
      <c r="I49" s="556"/>
      <c r="J49" s="556"/>
      <c r="K49" s="556"/>
    </row>
    <row r="50" customFormat="false" ht="26.85" hidden="false" customHeight="true" outlineLevel="0" collapsed="false">
      <c r="B50" s="569"/>
      <c r="C50" s="569"/>
      <c r="D50" s="559" t="n">
        <f aca="false">HLOOKUP($C$1,$E$1:$X$4910,ROW(D50))</f>
        <v>0</v>
      </c>
      <c r="E50" s="556"/>
      <c r="G50" s="563"/>
      <c r="H50" s="556"/>
      <c r="I50" s="556"/>
      <c r="J50" s="556"/>
      <c r="K50" s="556"/>
    </row>
    <row r="51" customFormat="false" ht="26.85" hidden="false" customHeight="true" outlineLevel="0" collapsed="false">
      <c r="B51" s="569"/>
      <c r="C51" s="569"/>
      <c r="D51" s="559" t="n">
        <f aca="false">HLOOKUP($C$1,$E$1:$X$4910,ROW(D51))</f>
        <v>0</v>
      </c>
      <c r="E51" s="556"/>
      <c r="G51" s="563"/>
      <c r="H51" s="556"/>
      <c r="I51" s="556"/>
      <c r="J51" s="556"/>
      <c r="K51" s="556"/>
    </row>
    <row r="52" customFormat="false" ht="26.85" hidden="false" customHeight="true" outlineLevel="0" collapsed="false">
      <c r="B52" s="569"/>
      <c r="C52" s="569"/>
      <c r="D52" s="559" t="str">
        <f aca="false">HLOOKUP($C$1,$E$1:$X$4910,ROW(D52))</f>
        <v>yes</v>
      </c>
      <c r="E52" s="556" t="s">
        <v>912</v>
      </c>
      <c r="F52" s="556" t="s">
        <v>913</v>
      </c>
      <c r="G52" s="563" t="s">
        <v>914</v>
      </c>
      <c r="H52" s="556" t="s">
        <v>915</v>
      </c>
      <c r="I52" s="556" t="str">
        <f aca="false">"[fr]"&amp;E52</f>
        <v>[fr]ja</v>
      </c>
      <c r="J52" s="556" t="str">
        <f aca="false">"[pt]"&amp;E52</f>
        <v>[pt]ja</v>
      </c>
      <c r="K52" s="556" t="str">
        <f aca="false">"[gr]"&amp;E52</f>
        <v>[gr]ja</v>
      </c>
    </row>
    <row r="53" customFormat="false" ht="26.85" hidden="false" customHeight="true" outlineLevel="0" collapsed="false">
      <c r="B53" s="569"/>
      <c r="C53" s="569"/>
      <c r="D53" s="559" t="str">
        <f aca="false">HLOOKUP($C$1,$E$1:$X$4910,ROW(D53))</f>
        <v>no</v>
      </c>
      <c r="E53" s="556" t="s">
        <v>916</v>
      </c>
      <c r="F53" s="556" t="s">
        <v>917</v>
      </c>
      <c r="G53" s="563" t="s">
        <v>917</v>
      </c>
      <c r="H53" s="556" t="s">
        <v>918</v>
      </c>
      <c r="I53" s="556" t="s">
        <v>919</v>
      </c>
      <c r="J53" s="556" t="s">
        <v>920</v>
      </c>
      <c r="K53" s="556" t="str">
        <f aca="false">"[gr]"&amp;E53</f>
        <v>[gr]nein</v>
      </c>
    </row>
    <row r="54" customFormat="false" ht="15.75" hidden="false" customHeight="true" outlineLevel="0" collapsed="false">
      <c r="D54" s="559" t="str">
        <f aca="false">HLOOKUP($C$1,$E$1:$X$4910,ROW(D54))</f>
        <v>CONTACT</v>
      </c>
      <c r="E54" s="556" t="s">
        <v>921</v>
      </c>
      <c r="F54" s="556" t="s">
        <v>922</v>
      </c>
      <c r="G54" s="563" t="s">
        <v>923</v>
      </c>
      <c r="H54" s="556" t="s">
        <v>924</v>
      </c>
      <c r="I54" s="556" t="str">
        <f aca="false">"[fr]"&amp;E54</f>
        <v>[fr]KONTAKT</v>
      </c>
      <c r="J54" s="556" t="str">
        <f aca="false">"[pt]"&amp;E54</f>
        <v>[pt]KONTAKT</v>
      </c>
      <c r="K54" s="556" t="str">
        <f aca="false">"[gr]"&amp;E54</f>
        <v>[gr]KONTAKT</v>
      </c>
    </row>
    <row r="55" customFormat="false" ht="41.85" hidden="false" customHeight="true" outlineLevel="0" collapsed="false">
      <c r="D55" s="559" t="str">
        <f aca="false">HLOOKUP($C$1,$E$1:$X$4910,ROW(D55))</f>
        <v>Questions regarding preparation of balance sheet:
beratung@gemeinwohl-oekonomie.org (GWÖ-BeraterInnen);</v>
      </c>
      <c r="E55" s="556" t="s">
        <v>925</v>
      </c>
      <c r="F55" s="556" t="s">
        <v>926</v>
      </c>
      <c r="G55" s="563" t="s">
        <v>927</v>
      </c>
      <c r="H55" s="556" t="s">
        <v>928</v>
      </c>
      <c r="I55" s="556" t="str">
        <f aca="false">"[fr]"&amp;E55</f>
        <v>[fr]Fragen zur Bilanz-Erstellung: beratung@gemeinwohl-oekonomie.org (GWÖ-BeraterInnen);</v>
      </c>
      <c r="J55" s="556" t="str">
        <f aca="false">"[pt]"&amp;E55</f>
        <v>[pt]Fragen zur Bilanz-Erstellung: beratung@gemeinwohl-oekonomie.org (GWÖ-BeraterInnen);</v>
      </c>
      <c r="K55" s="556" t="str">
        <f aca="false">"[gr]"&amp;E55</f>
        <v>[gr]Fragen zur Bilanz-Erstellung: beratung@gemeinwohl-oekonomie.org (GWÖ-BeraterInnen);</v>
      </c>
    </row>
    <row r="56" customFormat="false" ht="28.5" hidden="false" customHeight="true" outlineLevel="0" collapsed="false">
      <c r="D56" s="559" t="str">
        <f aca="false">HLOOKUP($C$1,$E$1:$X$4910,ROW(D56))</f>
        <v>Questions regarding audit: audit@gemeinwohl-oekonomie.org (GWÖ-AuditorInnen);</v>
      </c>
      <c r="E56" s="556" t="s">
        <v>929</v>
      </c>
      <c r="F56" s="573" t="s">
        <v>930</v>
      </c>
      <c r="G56" s="563" t="s">
        <v>931</v>
      </c>
      <c r="H56" s="556" t="s">
        <v>932</v>
      </c>
      <c r="I56" s="556" t="str">
        <f aca="false">"[fr]"&amp;E56</f>
        <v>[fr]Fragen zur Auditierung: audit@gemeinwohl-oekonomie.org (GWÖ-AuditorInnen);</v>
      </c>
      <c r="J56" s="556" t="str">
        <f aca="false">"[pt]"&amp;E56</f>
        <v>[pt]Fragen zur Auditierung: audit@gemeinwohl-oekonomie.org (GWÖ-AuditorInnen);</v>
      </c>
      <c r="K56" s="556" t="str">
        <f aca="false">"[gr]"&amp;E56</f>
        <v>[gr]Fragen zur Auditierung: audit@gemeinwohl-oekonomie.org (GWÖ-AuditorInnen);</v>
      </c>
    </row>
    <row r="57" customFormat="false" ht="41.85" hidden="false" customHeight="true" outlineLevel="0" collapsed="false">
      <c r="D57" s="559" t="str">
        <f aca="false">HLOOKUP($C$1,$E$1:$X$4910,ROW(D57))</f>
        <v>Feedback on the development of the Matrix: bilanz@ecogood.org (Matrix Development Team)</v>
      </c>
      <c r="E57" s="556" t="s">
        <v>933</v>
      </c>
      <c r="F57" s="556" t="str">
        <f aca="false">"[it]"&amp;E57</f>
        <v>[it]Weiterentwicklung der Matrix: bilanz@ecogood.org (GWÖ-Matrix Entwicklungsteam);</v>
      </c>
      <c r="G57" s="563" t="s">
        <v>934</v>
      </c>
      <c r="H57" s="556" t="s">
        <v>935</v>
      </c>
      <c r="I57" s="556" t="str">
        <f aca="false">"[fr]"&amp;E57</f>
        <v>[fr]Weiterentwicklung der Matrix: bilanz@ecogood.org (GWÖ-Matrix Entwicklungsteam);</v>
      </c>
      <c r="J57" s="556" t="str">
        <f aca="false">"[pt]"&amp;E57</f>
        <v>[pt]Weiterentwicklung der Matrix: bilanz@ecogood.org (GWÖ-Matrix Entwicklungsteam);</v>
      </c>
      <c r="K57" s="556" t="str">
        <f aca="false">"[gr]"&amp;E57</f>
        <v>[gr]Weiterentwicklung der Matrix: bilanz@ecogood.org (GWÖ-Matrix Entwicklungsteam);</v>
      </c>
    </row>
    <row r="58" customFormat="false" ht="79.35" hidden="false" customHeight="true" outlineLevel="0" collapsed="false">
      <c r="D58" s="559" t="str">
        <f aca="false">HLOOKUP($C$1,$E$1:$X$4910,ROW(D58))</f>
        <v>Excel programming: Christian Loy (christian.loy@gmx.at); Christian Kozina; Multilanguage tool: Bernhard Oberrauch</v>
      </c>
      <c r="E58" s="574" t="s">
        <v>936</v>
      </c>
      <c r="F58" s="556" t="s">
        <v>937</v>
      </c>
      <c r="G58" s="563" t="s">
        <v>938</v>
      </c>
      <c r="H58" s="556" t="s">
        <v>939</v>
      </c>
      <c r="I58" s="556" t="str">
        <f aca="false">"[fr]"&amp;E58</f>
        <v>[fr]Excel-Programmierung: Christian Loy (christian.loy@gmx.at); Christian Kozina; Multilanguage-tool: Bernhard Oberrauch</v>
      </c>
      <c r="J58" s="556" t="str">
        <f aca="false">"[pt]"&amp;E58</f>
        <v>[pt]Excel-Programmierung: Christian Loy (christian.loy@gmx.at); Christian Kozina; Multilanguage-tool: Bernhard Oberrauch</v>
      </c>
      <c r="K58" s="556" t="str">
        <f aca="false">"[gr]"&amp;E58</f>
        <v>[gr]Excel-Programmierung: Christian Loy (christian.loy@gmx.at); Christian Kozina; Multilanguage-tool: Bernhard Oberrauch</v>
      </c>
    </row>
    <row r="59" customFormat="false" ht="15.75" hidden="false" customHeight="true" outlineLevel="0" collapsed="false">
      <c r="D59" s="559" t="str">
        <f aca="false">HLOOKUP($C$1,$E$1:$X$4910,ROW(D59))</f>
        <v>Contents: ECG-Matrix Development Team</v>
      </c>
      <c r="E59" s="556" t="s">
        <v>940</v>
      </c>
      <c r="F59" s="556" t="str">
        <f aca="false">"[it]"&amp;E59</f>
        <v>[it]Inhalte: GWÖ-Matrix Entwicklungsteam</v>
      </c>
      <c r="G59" s="563" t="s">
        <v>941</v>
      </c>
      <c r="H59" s="556" t="s">
        <v>942</v>
      </c>
      <c r="I59" s="556" t="str">
        <f aca="false">"[fr]"&amp;E59</f>
        <v>[fr]Inhalte: GWÖ-Matrix Entwicklungsteam</v>
      </c>
      <c r="J59" s="556" t="str">
        <f aca="false">"[pt]"&amp;E59</f>
        <v>[pt]Inhalte: GWÖ-Matrix Entwicklungsteam</v>
      </c>
      <c r="K59" s="556" t="str">
        <f aca="false">"[gr]"&amp;E59</f>
        <v>[gr]Inhalte: GWÖ-Matrix Entwicklungsteam</v>
      </c>
    </row>
    <row r="60" customFormat="false" ht="15.75" hidden="false" customHeight="true" outlineLevel="0" collapsed="false">
      <c r="D60" s="559" t="str">
        <f aca="false">HLOOKUP($C$1,$E$1:$X$4910,ROW(D60))</f>
        <v>NOTES</v>
      </c>
      <c r="E60" s="556" t="s">
        <v>943</v>
      </c>
      <c r="F60" s="556" t="s">
        <v>944</v>
      </c>
      <c r="G60" s="563" t="s">
        <v>945</v>
      </c>
      <c r="H60" s="556" t="s">
        <v>946</v>
      </c>
      <c r="I60" s="556" t="str">
        <f aca="false">"[fr]"&amp;E60</f>
        <v>[fr]ANMERKUNGEN</v>
      </c>
      <c r="J60" s="556" t="str">
        <f aca="false">"[pt]"&amp;E60</f>
        <v>[pt]ANMERKUNGEN</v>
      </c>
      <c r="K60" s="556" t="str">
        <f aca="false">"[gr]"&amp;E60</f>
        <v>[gr]ANMERKUNGEN</v>
      </c>
    </row>
    <row r="61" customFormat="false" ht="68.25" hidden="false" customHeight="true" outlineLevel="0" collapsed="false">
      <c r="D61" s="559" t="str">
        <f aca="false">HLOOKUP($C$1,$E$1:$X$4910,ROW(D61))</f>
        <v>All sheets are optimised for printing on A4 format (landscape or portrait).
The height of rows can be adjusted, if you enter more text</v>
      </c>
      <c r="E61" s="556" t="s">
        <v>947</v>
      </c>
      <c r="F61" s="556" t="s">
        <v>948</v>
      </c>
      <c r="G61" s="563" t="s">
        <v>949</v>
      </c>
      <c r="H61" s="556" t="s">
        <v>950</v>
      </c>
      <c r="I61" s="556" t="str">
        <f aca="false">"[fr]"&amp;E61</f>
        <v>[fr]Alle Tabellen sind optimiert für den Ausdruck auf A4 (Hoch- oder Querformat).
Die Höhe der Zeilen ist veränderbar, falls Sie mehr Text eingeben wollen.</v>
      </c>
      <c r="J61" s="556" t="str">
        <f aca="false">"[pt]"&amp;E61</f>
        <v>[pt]Alle Tabellen sind optimiert für den Ausdruck auf A4 (Hoch- oder Querformat).
Die Höhe der Zeilen ist veränderbar, falls Sie mehr Text eingeben wollen.</v>
      </c>
      <c r="K61" s="556" t="str">
        <f aca="false">"[gr]"&amp;E61</f>
        <v>[gr]Alle Tabellen sind optimiert für den Ausdruck auf A4 (Hoch- oder Querformat).
Die Höhe der Zeilen ist veränderbar, falls Sie mehr Text eingeben wollen.</v>
      </c>
    </row>
    <row r="62" customFormat="false" ht="15.75" hidden="false" customHeight="true" outlineLevel="0" collapsed="false">
      <c r="D62" s="559" t="str">
        <f aca="false">HLOOKUP($C$1,$E$1:$X$4910,ROW(D62))</f>
        <v>GENERAL INFORMATION ABOUT THE COMPANY</v>
      </c>
      <c r="E62" s="556" t="s">
        <v>951</v>
      </c>
      <c r="F62" s="556" t="s">
        <v>952</v>
      </c>
      <c r="G62" s="563" t="s">
        <v>953</v>
      </c>
      <c r="H62" s="556" t="s">
        <v>954</v>
      </c>
      <c r="I62" s="556" t="str">
        <f aca="false">"[fr]"&amp;E62</f>
        <v>[fr]ALLGEMEINE ANGABEN ZUM UNTERNEHMEN</v>
      </c>
      <c r="J62" s="556" t="str">
        <f aca="false">"[pt]"&amp;E62</f>
        <v>[pt]ALLGEMEINE ANGABEN ZUM UNTERNEHMEN</v>
      </c>
      <c r="K62" s="556" t="str">
        <f aca="false">"[gr]"&amp;E62</f>
        <v>[gr]ALLGEMEINE ANGABEN ZUM UNTERNEHMEN</v>
      </c>
    </row>
    <row r="63" customFormat="false" ht="15.75" hidden="false" customHeight="true" outlineLevel="0" collapsed="false">
      <c r="D63" s="559" t="str">
        <f aca="false">HLOOKUP($C$1,$E$1:$X$4910,ROW(D63))</f>
        <v>Please complete all fields.</v>
      </c>
      <c r="E63" s="556" t="s">
        <v>955</v>
      </c>
      <c r="F63" s="556" t="s">
        <v>956</v>
      </c>
      <c r="G63" s="563" t="s">
        <v>957</v>
      </c>
      <c r="H63" s="556" t="s">
        <v>958</v>
      </c>
      <c r="I63" s="556" t="str">
        <f aca="false">"[fr]"&amp;E63</f>
        <v>[fr]Bitte vollständig ausfüllen!</v>
      </c>
      <c r="J63" s="556" t="str">
        <f aca="false">"[pt]"&amp;E63</f>
        <v>[pt]Bitte vollständig ausfüllen!</v>
      </c>
      <c r="K63" s="556" t="str">
        <f aca="false">"[gr]"&amp;E63</f>
        <v>[gr]Bitte vollständig ausfüllen!</v>
      </c>
    </row>
    <row r="64" customFormat="false" ht="15.75" hidden="false" customHeight="true" outlineLevel="0" collapsed="false">
      <c r="D64" s="559" t="str">
        <f aca="false">HLOOKUP($C$1,$E$1:$X$4910,ROW(D64))</f>
        <v>Name of Company / Organisation:</v>
      </c>
      <c r="E64" s="556" t="s">
        <v>959</v>
      </c>
      <c r="F64" s="556" t="s">
        <v>960</v>
      </c>
      <c r="G64" s="563" t="s">
        <v>961</v>
      </c>
      <c r="H64" s="556" t="s">
        <v>962</v>
      </c>
      <c r="I64" s="556" t="str">
        <f aca="false">"[fr]"&amp;E64</f>
        <v>[fr]Name des Unternehmens:</v>
      </c>
      <c r="J64" s="556" t="str">
        <f aca="false">"[pt]"&amp;E64</f>
        <v>[pt]Name des Unternehmens:</v>
      </c>
      <c r="K64" s="556" t="str">
        <f aca="false">"[gr]"&amp;E64</f>
        <v>[gr]Name des Unternehmens:</v>
      </c>
    </row>
    <row r="65" customFormat="false" ht="15.75" hidden="false" customHeight="true" outlineLevel="0" collapsed="false">
      <c r="D65" s="559" t="str">
        <f aca="false">HLOOKUP($C$1,$E$1:$X$4910,ROW(D65))</f>
        <v>Address:</v>
      </c>
      <c r="E65" s="556" t="s">
        <v>963</v>
      </c>
      <c r="F65" s="556" t="s">
        <v>964</v>
      </c>
      <c r="G65" s="563" t="s">
        <v>965</v>
      </c>
      <c r="H65" s="556" t="s">
        <v>966</v>
      </c>
      <c r="I65" s="556" t="str">
        <f aca="false">"[fr]"&amp;E65</f>
        <v>[fr]Anschrift:</v>
      </c>
      <c r="J65" s="556" t="str">
        <f aca="false">"[pt]"&amp;E65</f>
        <v>[pt]Anschrift:</v>
      </c>
      <c r="K65" s="556" t="str">
        <f aca="false">"[gr]"&amp;E65</f>
        <v>[gr]Anschrift:</v>
      </c>
    </row>
    <row r="66" customFormat="false" ht="15.75" hidden="false" customHeight="true" outlineLevel="0" collapsed="false">
      <c r="D66" s="559" t="str">
        <f aca="false">HLOOKUP($C$1,$E$1:$X$4910,ROW(D66))</f>
        <v>Country:</v>
      </c>
      <c r="E66" s="556" t="s">
        <v>967</v>
      </c>
      <c r="F66" s="556" t="s">
        <v>968</v>
      </c>
      <c r="G66" s="563" t="s">
        <v>969</v>
      </c>
      <c r="H66" s="556" t="s">
        <v>970</v>
      </c>
      <c r="I66" s="556" t="str">
        <f aca="false">"[fr]"&amp;E66</f>
        <v>[fr]Staat:</v>
      </c>
      <c r="J66" s="556" t="str">
        <f aca="false">"[pt]"&amp;E66</f>
        <v>[pt]Staat:</v>
      </c>
      <c r="K66" s="556" t="str">
        <f aca="false">"[gr]"&amp;E66</f>
        <v>[gr]Staat:</v>
      </c>
    </row>
    <row r="67" customFormat="false" ht="15.75" hidden="false" customHeight="true" outlineLevel="0" collapsed="false">
      <c r="D67" s="559" t="str">
        <f aca="false">HLOOKUP($C$1,$E$1:$X$4910,ROW(D67))</f>
        <v>Industry sector:</v>
      </c>
      <c r="E67" s="556" t="s">
        <v>971</v>
      </c>
      <c r="F67" s="556" t="s">
        <v>972</v>
      </c>
      <c r="G67" s="563" t="s">
        <v>973</v>
      </c>
      <c r="H67" s="556" t="s">
        <v>974</v>
      </c>
      <c r="I67" s="556" t="str">
        <f aca="false">"[fr]"&amp;E67</f>
        <v>[fr]Branche:</v>
      </c>
      <c r="J67" s="556" t="str">
        <f aca="false">"[pt]"&amp;E67</f>
        <v>[pt]Branche:</v>
      </c>
      <c r="K67" s="556" t="str">
        <f aca="false">"[gr]"&amp;E67</f>
        <v>[gr]Branche:</v>
      </c>
    </row>
    <row r="68" customFormat="false" ht="15.75" hidden="false" customHeight="true" outlineLevel="0" collapsed="false">
      <c r="D68" s="559" t="str">
        <f aca="false">HLOOKUP($C$1,$E$1:$X$4910,ROW(D68))</f>
        <v>Website:</v>
      </c>
      <c r="E68" s="556" t="s">
        <v>975</v>
      </c>
      <c r="F68" s="556" t="s">
        <v>976</v>
      </c>
      <c r="G68" s="563" t="s">
        <v>975</v>
      </c>
      <c r="H68" s="556" t="s">
        <v>977</v>
      </c>
      <c r="I68" s="556" t="str">
        <f aca="false">"[fr]"&amp;E68</f>
        <v>[fr]Website:</v>
      </c>
      <c r="J68" s="556" t="str">
        <f aca="false">"[pt]"&amp;E68</f>
        <v>[pt]Website:</v>
      </c>
      <c r="K68" s="556" t="str">
        <f aca="false">"[gr]"&amp;E68</f>
        <v>[gr]Website:</v>
      </c>
    </row>
    <row r="69" customFormat="false" ht="15.75" hidden="false" customHeight="true" outlineLevel="0" collapsed="false">
      <c r="D69" s="559" t="str">
        <f aca="false">HLOOKUP($C$1,$E$1:$X$4910,ROW(D69))</f>
        <v>Number of employees</v>
      </c>
      <c r="E69" s="556" t="s">
        <v>978</v>
      </c>
      <c r="F69" s="556" t="s">
        <v>979</v>
      </c>
      <c r="G69" s="563" t="s">
        <v>980</v>
      </c>
      <c r="H69" s="556" t="s">
        <v>981</v>
      </c>
      <c r="I69" s="556" t="str">
        <f aca="false">"[fr]"&amp;E69</f>
        <v>[fr]Anzahl der MitarbeiterInnen:</v>
      </c>
      <c r="J69" s="556" t="str">
        <f aca="false">"[pt]"&amp;E69</f>
        <v>[pt]Anzahl der MitarbeiterInnen:</v>
      </c>
      <c r="K69" s="556" t="str">
        <f aca="false">"[gr]"&amp;E69</f>
        <v>[gr]Anzahl der MitarbeiterInnen:</v>
      </c>
    </row>
    <row r="70" customFormat="false" ht="15.75" hidden="false" customHeight="true" outlineLevel="0" collapsed="false">
      <c r="D70" s="559" t="str">
        <f aca="false">HLOOKUP($C$1,$E$1:$X$4910,ROW(D70))</f>
        <v>Sole trader (ST) (or single-person)</v>
      </c>
      <c r="E70" s="556" t="s">
        <v>982</v>
      </c>
      <c r="F70" s="556" t="s">
        <v>983</v>
      </c>
      <c r="G70" s="563" t="s">
        <v>984</v>
      </c>
      <c r="H70" s="556" t="s">
        <v>985</v>
      </c>
      <c r="I70" s="556" t="str">
        <f aca="false">"[fr]"&amp;E70</f>
        <v>[fr]Ein-Personen-Unternehmen:</v>
      </c>
      <c r="J70" s="556" t="str">
        <f aca="false">"[pt]"&amp;E70</f>
        <v>[pt]Ein-Personen-Unternehmen:</v>
      </c>
      <c r="K70" s="556" t="str">
        <f aca="false">"[gr]"&amp;E70</f>
        <v>[gr]Ein-Personen-Unternehmen:</v>
      </c>
    </row>
    <row r="71" customFormat="false" ht="41.85" hidden="false" customHeight="true" outlineLevel="0" collapsed="false">
      <c r="D71" s="559" t="str">
        <f aca="false">HLOOKUP($C$1,$E$1:$X$4910,ROW(D71))</f>
        <v>(Note: If yes, the values for STs will be filled in automatically for the calculation)</v>
      </c>
      <c r="E71" s="556" t="s">
        <v>986</v>
      </c>
      <c r="F71" s="556" t="s">
        <v>987</v>
      </c>
      <c r="G71" s="563" t="s">
        <v>988</v>
      </c>
      <c r="H71" s="556" t="s">
        <v>989</v>
      </c>
      <c r="I71" s="556" t="str">
        <f aca="false">"[fr]"&amp;E71</f>
        <v>[fr](Hinweis: Wenn ja, werden die für EPUs gültigen Werte automatisch in die Berechnung übernommen.)</v>
      </c>
      <c r="J71" s="556" t="str">
        <f aca="false">"[pt]"&amp;E71</f>
        <v>[pt](Hinweis: Wenn ja, werden die für EPUs gültigen Werte automatisch in die Berechnung übernommen.)</v>
      </c>
      <c r="K71" s="556" t="str">
        <f aca="false">"[gr]"&amp;E71</f>
        <v>[gr](Hinweis: Wenn ja, werden die für EPUs gültigen Werte automatisch in die Berechnung übernommen.)</v>
      </c>
    </row>
    <row r="72" customFormat="false" ht="15.75" hidden="false" customHeight="true" outlineLevel="0" collapsed="false">
      <c r="D72" s="559" t="str">
        <f aca="false">HLOOKUP($C$1,$E$1:$X$4910,ROW(D72))</f>
        <v>Balance year:</v>
      </c>
      <c r="E72" s="556" t="s">
        <v>990</v>
      </c>
      <c r="F72" s="556" t="s">
        <v>991</v>
      </c>
      <c r="G72" s="563" t="s">
        <v>992</v>
      </c>
      <c r="H72" s="556" t="s">
        <v>993</v>
      </c>
      <c r="I72" s="556" t="str">
        <f aca="false">"[fr]"&amp;E72</f>
        <v>[fr]Bilanzjahr:</v>
      </c>
      <c r="J72" s="556" t="str">
        <f aca="false">"[pt]"&amp;E72</f>
        <v>[pt]Bilanzjahr:</v>
      </c>
      <c r="K72" s="556" t="str">
        <f aca="false">"[gr]"&amp;E72</f>
        <v>[gr]Bilanzjahr:</v>
      </c>
    </row>
    <row r="73" customFormat="false" ht="15.75" hidden="false" customHeight="true" outlineLevel="0" collapsed="false">
      <c r="D73" s="559" t="str">
        <f aca="false">HLOOKUP($C$1,$E$1:$X$4910,ROW(D73))</f>
        <v>Document created by:</v>
      </c>
      <c r="E73" s="556" t="s">
        <v>994</v>
      </c>
      <c r="F73" s="556" t="s">
        <v>995</v>
      </c>
      <c r="G73" s="563" t="s">
        <v>996</v>
      </c>
      <c r="H73" s="556" t="s">
        <v>997</v>
      </c>
      <c r="I73" s="556" t="str">
        <f aca="false">"[fr]"&amp;E73</f>
        <v>[fr]ErstellerIn:</v>
      </c>
      <c r="J73" s="556" t="str">
        <f aca="false">"[pt]"&amp;E73</f>
        <v>[pt]ErstellerIn:</v>
      </c>
      <c r="K73" s="556" t="str">
        <f aca="false">"[gr]"&amp;E73</f>
        <v>[gr]ErstellerIn:</v>
      </c>
    </row>
    <row r="74" customFormat="false" ht="15.75" hidden="false" customHeight="true" outlineLevel="0" collapsed="false">
      <c r="D74" s="559" t="str">
        <f aca="false">HLOOKUP($C$1,$E$1:$X$4910,ROW(D74))</f>
        <v>Email address:</v>
      </c>
      <c r="E74" s="556" t="s">
        <v>998</v>
      </c>
      <c r="F74" s="556" t="s">
        <v>999</v>
      </c>
      <c r="G74" s="563" t="s">
        <v>1000</v>
      </c>
      <c r="H74" s="556" t="s">
        <v>1001</v>
      </c>
      <c r="I74" s="556" t="str">
        <f aca="false">"[fr]"&amp;E74</f>
        <v>[fr]E-Mail-Adresse:</v>
      </c>
      <c r="J74" s="556" t="str">
        <f aca="false">"[pt]"&amp;E74</f>
        <v>[pt]E-Mail-Adresse:</v>
      </c>
      <c r="K74" s="556" t="str">
        <f aca="false">"[gr]"&amp;E74</f>
        <v>[gr]E-Mail-Adresse:</v>
      </c>
    </row>
    <row r="75" customFormat="false" ht="15.75" hidden="false" customHeight="true" outlineLevel="0" collapsed="false">
      <c r="D75" s="559" t="str">
        <f aca="false">HLOOKUP($C$1,$E$1:$X$4910,ROW(D75))</f>
        <v>Phone number:</v>
      </c>
      <c r="E75" s="556" t="s">
        <v>1002</v>
      </c>
      <c r="F75" s="556" t="s">
        <v>1003</v>
      </c>
      <c r="G75" s="563" t="s">
        <v>1004</v>
      </c>
      <c r="H75" s="556" t="s">
        <v>1005</v>
      </c>
      <c r="I75" s="556" t="str">
        <f aca="false">"[fr]"&amp;E75</f>
        <v>[fr]Telefonnummer:</v>
      </c>
      <c r="J75" s="556" t="str">
        <f aca="false">"[pt]"&amp;E75</f>
        <v>[pt]Telefonnummer:</v>
      </c>
      <c r="K75" s="556" t="str">
        <f aca="false">"[gr]"&amp;E75</f>
        <v>[gr]Telefonnummer:</v>
      </c>
    </row>
    <row r="76" customFormat="false" ht="15.75" hidden="false" customHeight="true" outlineLevel="0" collapsed="false">
      <c r="D76" s="559" t="str">
        <f aca="false">HLOOKUP($C$1,$E$1:$X$4910,ROW(D76))</f>
        <v>Consultant:</v>
      </c>
      <c r="E76" s="556" t="s">
        <v>1006</v>
      </c>
      <c r="F76" s="556" t="s">
        <v>1007</v>
      </c>
      <c r="G76" s="563" t="s">
        <v>1008</v>
      </c>
      <c r="H76" s="556" t="s">
        <v>1009</v>
      </c>
      <c r="I76" s="556" t="str">
        <f aca="false">"[fr]"&amp;E76</f>
        <v>[fr]BeraterIn:</v>
      </c>
      <c r="J76" s="556" t="str">
        <f aca="false">"[pt]"&amp;E76</f>
        <v>[pt]BeraterIn:</v>
      </c>
      <c r="K76" s="556" t="str">
        <f aca="false">"[gr]"&amp;E76</f>
        <v>[gr]BeraterIn:</v>
      </c>
    </row>
    <row r="77" customFormat="false" ht="15.75" hidden="false" customHeight="true" outlineLevel="0" collapsed="false">
      <c r="D77" s="559" t="str">
        <f aca="false">HLOOKUP($C$1,$E$1:$X$4910,ROW(D77))</f>
        <v>E-mail address:</v>
      </c>
      <c r="E77" s="556" t="s">
        <v>998</v>
      </c>
      <c r="F77" s="556" t="s">
        <v>999</v>
      </c>
      <c r="G77" s="563" t="s">
        <v>1010</v>
      </c>
      <c r="H77" s="556" t="s">
        <v>1001</v>
      </c>
      <c r="I77" s="556" t="str">
        <f aca="false">"[fr]"&amp;E77</f>
        <v>[fr]E-Mail-Adresse:</v>
      </c>
      <c r="J77" s="556" t="str">
        <f aca="false">"[pt]"&amp;E77</f>
        <v>[pt]E-Mail-Adresse:</v>
      </c>
      <c r="K77" s="556" t="str">
        <f aca="false">"[gr]"&amp;E77</f>
        <v>[gr]E-Mail-Adresse:</v>
      </c>
    </row>
    <row r="78" customFormat="false" ht="15.75" hidden="false" customHeight="true" outlineLevel="0" collapsed="false">
      <c r="D78" s="559" t="str">
        <f aca="false">HLOOKUP($C$1,$E$1:$X$4910,ROW(D78))</f>
        <v>Phone Number</v>
      </c>
      <c r="E78" s="556" t="s">
        <v>1002</v>
      </c>
      <c r="F78" s="556" t="s">
        <v>1003</v>
      </c>
      <c r="G78" s="563" t="s">
        <v>1011</v>
      </c>
      <c r="H78" s="556" t="s">
        <v>1005</v>
      </c>
      <c r="I78" s="556" t="str">
        <f aca="false">"[fr]"&amp;E78</f>
        <v>[fr]Telefonnummer:</v>
      </c>
      <c r="J78" s="556" t="str">
        <f aca="false">"[pt]"&amp;E78</f>
        <v>[pt]Telefonnummer:</v>
      </c>
      <c r="K78" s="556" t="str">
        <f aca="false">"[gr]"&amp;E78</f>
        <v>[gr]Telefonnummer:</v>
      </c>
    </row>
    <row r="79" customFormat="false" ht="28.5" hidden="false" customHeight="true" outlineLevel="0" collapsed="false">
      <c r="D79" s="559" t="str">
        <f aca="false">HLOOKUP($C$1,$E$1:$X$4910,ROW(D79))</f>
        <v>Short description of Company / Organisation</v>
      </c>
      <c r="E79" s="556" t="s">
        <v>1012</v>
      </c>
      <c r="F79" s="556" t="s">
        <v>1013</v>
      </c>
      <c r="G79" s="563" t="s">
        <v>1014</v>
      </c>
      <c r="H79" s="556" t="s">
        <v>1015</v>
      </c>
      <c r="I79" s="556" t="str">
        <f aca="false">"[fr]"&amp;E79</f>
        <v>[fr]Kurzbeschreibung
des Unternehmens:</v>
      </c>
      <c r="J79" s="556" t="str">
        <f aca="false">"[pt]"&amp;E79</f>
        <v>[pt]Kurzbeschreibung
des Unternehmens:</v>
      </c>
      <c r="K79" s="556" t="str">
        <f aca="false">"[gr]"&amp;E79</f>
        <v>[gr]Kurzbeschreibung
des Unternehmens:</v>
      </c>
    </row>
    <row r="80" customFormat="false" ht="15.75" hidden="false" customHeight="true" outlineLevel="0" collapsed="false">
      <c r="D80" s="559" t="str">
        <f aca="false">HLOOKUP($C$1,$E$1:$X$4910,ROW(D80))</f>
        <v>Additional comments:</v>
      </c>
      <c r="E80" s="556" t="s">
        <v>1016</v>
      </c>
      <c r="F80" s="556" t="s">
        <v>1017</v>
      </c>
      <c r="G80" s="563" t="s">
        <v>1018</v>
      </c>
      <c r="H80" s="556" t="s">
        <v>1019</v>
      </c>
      <c r="I80" s="556" t="str">
        <f aca="false">"[fr]"&amp;E80</f>
        <v>[fr]Sonstige Anmerkungen:</v>
      </c>
      <c r="J80" s="556" t="str">
        <f aca="false">"[pt]"&amp;E80</f>
        <v>[pt]Sonstige Anmerkungen:</v>
      </c>
      <c r="K80" s="556" t="str">
        <f aca="false">"[gr]"&amp;E80</f>
        <v>[gr]Sonstige Anmerkungen:</v>
      </c>
    </row>
    <row r="81" customFormat="false" ht="15.75" hidden="false" customHeight="true" outlineLevel="0" collapsed="false">
      <c r="D81" s="559" t="str">
        <f aca="false">HLOOKUP($C$1,$E$1:$X$4910,ROW(D81))</f>
        <v>CALCULATION OF INDIVIDUAL INDICATORS</v>
      </c>
      <c r="E81" s="562" t="s">
        <v>1020</v>
      </c>
      <c r="F81" s="556" t="s">
        <v>1021</v>
      </c>
      <c r="G81" s="563" t="s">
        <v>1022</v>
      </c>
      <c r="H81" s="556" t="s">
        <v>1023</v>
      </c>
      <c r="I81" s="556" t="str">
        <f aca="false">"[fr]"&amp;E81</f>
        <v>[fr]BERECHNUNG DER EINZELNEN THEMEN</v>
      </c>
      <c r="J81" s="556" t="str">
        <f aca="false">"[pt]"&amp;E81</f>
        <v>[pt]BERECHNUNG DER EINZELNEN THEMEN</v>
      </c>
      <c r="K81" s="556" t="str">
        <f aca="false">"[gr]"&amp;E81</f>
        <v>[gr]BERECHNUNG DER EINZELNEN THEMEN</v>
      </c>
    </row>
    <row r="82" customFormat="false" ht="15.75" hidden="false" customHeight="true" outlineLevel="0" collapsed="false">
      <c r="D82" s="559" t="str">
        <f aca="false">HLOOKUP($C$1,$E$1:$X$4910,ROW(D82))</f>
        <v>Company / Organisation</v>
      </c>
      <c r="E82" s="556" t="s">
        <v>1024</v>
      </c>
      <c r="F82" s="556" t="s">
        <v>1025</v>
      </c>
      <c r="G82" s="563" t="s">
        <v>1026</v>
      </c>
      <c r="H82" s="556" t="s">
        <v>1027</v>
      </c>
      <c r="I82" s="556" t="str">
        <f aca="false">"[fr]"&amp;E82</f>
        <v>[fr]Unternehmen</v>
      </c>
      <c r="J82" s="556" t="s">
        <v>1028</v>
      </c>
      <c r="K82" s="556" t="str">
        <f aca="false">"[gr]"&amp;E82</f>
        <v>[gr]Unternehmen</v>
      </c>
    </row>
    <row r="83" customFormat="false" ht="15.75" hidden="false" customHeight="true" outlineLevel="0" collapsed="false">
      <c r="D83" s="559" t="str">
        <f aca="false">HLOOKUP($C$1,$E$1:$X$4910,ROW(D83))</f>
        <v>Period under review</v>
      </c>
      <c r="E83" s="556" t="s">
        <v>1029</v>
      </c>
      <c r="F83" s="556" t="s">
        <v>1030</v>
      </c>
      <c r="G83" s="563" t="s">
        <v>1031</v>
      </c>
      <c r="H83" s="556" t="s">
        <v>993</v>
      </c>
      <c r="I83" s="556" t="str">
        <f aca="false">"[fr]"&amp;E83</f>
        <v>[fr]Bilanz-Jahr</v>
      </c>
      <c r="J83" s="556" t="s">
        <v>1032</v>
      </c>
      <c r="K83" s="556" t="str">
        <f aca="false">"[gr]"&amp;E83</f>
        <v>[gr]Bilanz-Jahr</v>
      </c>
    </row>
    <row r="84" customFormat="false" ht="15.75" hidden="false" customHeight="true" outlineLevel="0" collapsed="false">
      <c r="D84" s="559" t="n">
        <f aca="false">HLOOKUP($C$1,$E$1:$X$4910,ROW(D84))</f>
        <v>0</v>
      </c>
      <c r="E84" s="556"/>
      <c r="G84" s="563"/>
      <c r="H84" s="556"/>
      <c r="I84" s="556"/>
      <c r="J84" s="556"/>
      <c r="K84" s="556"/>
    </row>
    <row r="85" customFormat="false" ht="15.75" hidden="false" customHeight="true" outlineLevel="0" collapsed="false">
      <c r="D85" s="559" t="n">
        <f aca="false">HLOOKUP($C$1,$E$1:$X$4910,ROW(D85))</f>
        <v>0</v>
      </c>
      <c r="E85" s="556"/>
      <c r="G85" s="563"/>
      <c r="H85" s="556"/>
      <c r="I85" s="556"/>
      <c r="J85" s="556"/>
      <c r="K85" s="556"/>
    </row>
    <row r="86" customFormat="false" ht="15.75" hidden="false" customHeight="true" outlineLevel="0" collapsed="false">
      <c r="D86" s="559" t="n">
        <f aca="false">HLOOKUP($C$1,$E$1:$X$4910,ROW(D86))</f>
        <v>0</v>
      </c>
      <c r="E86" s="556"/>
      <c r="G86" s="563"/>
      <c r="H86" s="556"/>
      <c r="I86" s="556"/>
      <c r="J86" s="556"/>
      <c r="K86" s="556"/>
    </row>
    <row r="87" customFormat="false" ht="15.75" hidden="false" customHeight="true" outlineLevel="0" collapsed="false">
      <c r="D87" s="559" t="n">
        <f aca="false">HLOOKUP($C$1,$E$1:$X$4910,ROW(D87))</f>
        <v>0</v>
      </c>
      <c r="E87" s="556"/>
      <c r="G87" s="563"/>
      <c r="H87" s="556"/>
      <c r="I87" s="556"/>
      <c r="J87" s="556"/>
      <c r="K87" s="556"/>
    </row>
    <row r="88" customFormat="false" ht="15.75" hidden="false" customHeight="true" outlineLevel="0" collapsed="false">
      <c r="D88" s="559" t="n">
        <f aca="false">HLOOKUP($C$1,$E$1:$X$4910,ROW(D88))</f>
        <v>0</v>
      </c>
      <c r="E88" s="556"/>
      <c r="G88" s="563"/>
      <c r="H88" s="556"/>
      <c r="I88" s="556"/>
      <c r="J88" s="556"/>
      <c r="K88" s="556"/>
    </row>
    <row r="89" customFormat="false" ht="15.75" hidden="false" customHeight="true" outlineLevel="0" collapsed="false">
      <c r="D89" s="559" t="n">
        <f aca="false">HLOOKUP($C$1,$E$1:$X$4910,ROW(D89))</f>
        <v>0</v>
      </c>
      <c r="E89" s="556"/>
      <c r="G89" s="563"/>
      <c r="H89" s="556"/>
      <c r="I89" s="556"/>
      <c r="J89" s="556"/>
      <c r="K89" s="556"/>
    </row>
    <row r="90" customFormat="false" ht="15.75" hidden="false" customHeight="true" outlineLevel="0" collapsed="false">
      <c r="D90" s="559" t="str">
        <f aca="false">HLOOKUP($C$1,$E$1:$X$4910,ROW(D90))</f>
        <v>CALCULATION OF INDIVIDUAL ASPECTS</v>
      </c>
      <c r="E90" s="556" t="s">
        <v>1033</v>
      </c>
      <c r="F90" s="556" t="s">
        <v>1034</v>
      </c>
      <c r="G90" s="563" t="s">
        <v>1035</v>
      </c>
      <c r="H90" s="556" t="s">
        <v>1036</v>
      </c>
      <c r="I90" s="556" t="str">
        <f aca="false">"[fr]"&amp;E90</f>
        <v>[fr]BERECHNUNG DER EINZELNEN ASPEKTE</v>
      </c>
      <c r="J90" s="575" t="s">
        <v>1037</v>
      </c>
      <c r="K90" s="556" t="str">
        <f aca="false">"[gr]"&amp;E90</f>
        <v>[gr]BERECHNUNG DER EINZELNEN ASPEKTE</v>
      </c>
    </row>
    <row r="91" customFormat="false" ht="15.75" hidden="false" customHeight="true" outlineLevel="0" collapsed="false">
      <c r="D91" s="559" t="str">
        <f aca="false">HLOOKUP($C$1,$E$1:$X$4910,ROW(D91))</f>
        <v>Common Good Balance Calculator</v>
      </c>
      <c r="E91" s="556" t="s">
        <v>1038</v>
      </c>
      <c r="F91" s="564" t="s">
        <v>1039</v>
      </c>
      <c r="G91" s="563" t="s">
        <v>1040</v>
      </c>
      <c r="H91" s="556" t="s">
        <v>1041</v>
      </c>
      <c r="I91" s="556" t="str">
        <f aca="false">"[fr]"&amp;E91</f>
        <v>[fr]Gemeinwohl-Bilanz-Rechner</v>
      </c>
      <c r="J91" s="556" t="s">
        <v>1042</v>
      </c>
      <c r="K91" s="556" t="str">
        <f aca="false">"[gr]"&amp;E91</f>
        <v>[gr]Gemeinwohl-Bilanz-Rechner</v>
      </c>
    </row>
    <row r="92" customFormat="false" ht="15.75" hidden="false" customHeight="true" outlineLevel="0" collapsed="false">
      <c r="D92" s="559" t="str">
        <f aca="false">HLOOKUP($C$1,$E$1:$X$4910,ROW(D92))</f>
        <v>Total Balance Score:</v>
      </c>
      <c r="E92" s="556" t="s">
        <v>1043</v>
      </c>
      <c r="F92" s="556" t="s">
        <v>1044</v>
      </c>
      <c r="G92" s="563" t="s">
        <v>1045</v>
      </c>
      <c r="H92" s="556" t="s">
        <v>1046</v>
      </c>
      <c r="I92" s="556" t="str">
        <f aca="false">"[fr]"&amp;E92</f>
        <v>[fr]BILANZSUMME:</v>
      </c>
      <c r="J92" s="556" t="s">
        <v>1047</v>
      </c>
      <c r="K92" s="556" t="str">
        <f aca="false">"[gr]"&amp;E92</f>
        <v>[gr]BILANZSUMME:</v>
      </c>
    </row>
    <row r="93" customFormat="false" ht="15.75" hidden="false" customHeight="true" outlineLevel="0" collapsed="false">
      <c r="D93" s="559" t="str">
        <f aca="false">HLOOKUP($C$1,$E$1:$X$4910,ROW(D93))</f>
        <v>No.</v>
      </c>
      <c r="E93" s="556" t="s">
        <v>1048</v>
      </c>
      <c r="F93" s="556" t="s">
        <v>1049</v>
      </c>
      <c r="G93" s="563" t="s">
        <v>1050</v>
      </c>
      <c r="H93" s="556" t="s">
        <v>1051</v>
      </c>
      <c r="I93" s="556" t="str">
        <f aca="false">"[fr]"&amp;E93</f>
        <v>[fr]Nr.</v>
      </c>
      <c r="J93" s="556" t="str">
        <f aca="false">"[pt]"&amp;E93</f>
        <v>[pt]Nr.</v>
      </c>
      <c r="K93" s="556" t="str">
        <f aca="false">"[gr]"&amp;E93</f>
        <v>[gr]Nr.</v>
      </c>
    </row>
    <row r="94" customFormat="false" ht="15.75" hidden="false" customHeight="true" outlineLevel="0" collapsed="false">
      <c r="D94" s="559" t="str">
        <f aca="false">HLOOKUP($C$1,$E$1:$X$4910,ROW(D94))</f>
        <v>Stakeholders </v>
      </c>
      <c r="E94" s="556" t="s">
        <v>1052</v>
      </c>
      <c r="F94" s="556" t="s">
        <v>1053</v>
      </c>
      <c r="G94" s="563" t="s">
        <v>1054</v>
      </c>
      <c r="H94" s="556" t="s">
        <v>1055</v>
      </c>
      <c r="I94" s="556" t="str">
        <f aca="false">"[fr]"&amp;E94</f>
        <v>[fr]Berührungsgruppe</v>
      </c>
      <c r="J94" s="556" t="str">
        <f aca="false">"[pt]"&amp;E94</f>
        <v>[pt]Berührungsgruppe</v>
      </c>
      <c r="K94" s="556" t="str">
        <f aca="false">"[gr]"&amp;E94</f>
        <v>[gr]Berührungsgruppe</v>
      </c>
    </row>
    <row r="95" customFormat="false" ht="15.75" hidden="false" customHeight="true" outlineLevel="0" collapsed="false">
      <c r="D95" s="559" t="str">
        <f aca="false">HLOOKUP($C$1,$E$1:$X$4910,ROW(D95))</f>
        <v>Stakeholders/Indicators/Criteria</v>
      </c>
      <c r="E95" s="562" t="s">
        <v>1056</v>
      </c>
      <c r="F95" s="556" t="s">
        <v>1057</v>
      </c>
      <c r="G95" s="563" t="s">
        <v>1058</v>
      </c>
      <c r="H95" s="556" t="s">
        <v>1059</v>
      </c>
      <c r="I95" s="556" t="str">
        <f aca="false">"[fr]"&amp;E95</f>
        <v>[fr]Berührungsgruppe/Themen/Aspekte</v>
      </c>
      <c r="J95" s="556" t="str">
        <f aca="false">"[pt]"&amp;E95</f>
        <v>[pt]Berührungsgruppe/Themen/Aspekte</v>
      </c>
      <c r="K95" s="556" t="str">
        <f aca="false">"[gr]"&amp;E95</f>
        <v>[gr]Berührungsgruppe/Themen/Aspekte</v>
      </c>
    </row>
    <row r="96" customFormat="false" ht="15.75" hidden="false" customHeight="true" outlineLevel="0" collapsed="false">
      <c r="D96" s="559" t="str">
        <f aca="false">HLOOKUP($C$1,$E$1:$X$4910,ROW(D96))</f>
        <v>Weight</v>
      </c>
      <c r="E96" s="556" t="s">
        <v>1060</v>
      </c>
      <c r="F96" s="556" t="s">
        <v>1061</v>
      </c>
      <c r="G96" s="563" t="s">
        <v>1062</v>
      </c>
      <c r="H96" s="556" t="s">
        <v>1063</v>
      </c>
      <c r="I96" s="556" t="str">
        <f aca="false">"[fr]"&amp;E96</f>
        <v>[fr]Gewichtung</v>
      </c>
      <c r="J96" s="556" t="s">
        <v>1061</v>
      </c>
      <c r="K96" s="556" t="str">
        <f aca="false">"[gr]"&amp;E96</f>
        <v>[gr]Gewichtung</v>
      </c>
    </row>
    <row r="97" customFormat="false" ht="15.75" hidden="false" customHeight="true" outlineLevel="0" collapsed="false">
      <c r="C97" s="576" t="n">
        <v>4</v>
      </c>
      <c r="D97" s="559" t="str">
        <f aca="false">HLOOKUP($C$1,$E$1:$X$4910,ROW(D97))</f>
        <v>very high</v>
      </c>
      <c r="E97" s="556" t="s">
        <v>162</v>
      </c>
      <c r="F97" s="556" t="s">
        <v>1064</v>
      </c>
      <c r="G97" s="563" t="s">
        <v>1065</v>
      </c>
      <c r="H97" s="556" t="s">
        <v>1066</v>
      </c>
      <c r="I97" s="556" t="str">
        <f aca="false">"[fr]"&amp;E97</f>
        <v>[fr]sehr hoch</v>
      </c>
      <c r="J97" s="556" t="str">
        <f aca="false">"[pt]"&amp;E97</f>
        <v>[pt]sehr hoch</v>
      </c>
      <c r="K97" s="556" t="str">
        <f aca="false">"[gr]"&amp;E97</f>
        <v>[gr]sehr hoch</v>
      </c>
    </row>
    <row r="98" customFormat="false" ht="15.75" hidden="false" customHeight="true" outlineLevel="0" collapsed="false">
      <c r="C98" s="576" t="n">
        <v>3</v>
      </c>
      <c r="D98" s="559" t="str">
        <f aca="false">HLOOKUP($C$1,$E$1:$X$4910,ROW(D98))</f>
        <v>high</v>
      </c>
      <c r="E98" s="556" t="s">
        <v>161</v>
      </c>
      <c r="F98" s="556" t="s">
        <v>1067</v>
      </c>
      <c r="G98" s="563" t="s">
        <v>1068</v>
      </c>
      <c r="H98" s="556" t="s">
        <v>1069</v>
      </c>
      <c r="I98" s="556" t="str">
        <f aca="false">"[fr]"&amp;E98</f>
        <v>[fr]hoch</v>
      </c>
      <c r="J98" s="556" t="str">
        <f aca="false">"[pt]"&amp;E98</f>
        <v>[pt]hoch</v>
      </c>
      <c r="K98" s="556" t="str">
        <f aca="false">"[gr]"&amp;E98</f>
        <v>[gr]hoch</v>
      </c>
    </row>
    <row r="99" customFormat="false" ht="15.75" hidden="false" customHeight="true" outlineLevel="0" collapsed="false">
      <c r="C99" s="576" t="n">
        <v>2</v>
      </c>
      <c r="D99" s="559" t="str">
        <f aca="false">HLOOKUP($C$1,$E$1:$X$4910,ROW(D99))</f>
        <v>medium</v>
      </c>
      <c r="E99" s="556" t="s">
        <v>160</v>
      </c>
      <c r="F99" s="556" t="s">
        <v>1070</v>
      </c>
      <c r="G99" s="563" t="s">
        <v>1071</v>
      </c>
      <c r="H99" s="556" t="s">
        <v>1072</v>
      </c>
      <c r="I99" s="556" t="str">
        <f aca="false">"[fr]"&amp;E99</f>
        <v>[fr]mittel</v>
      </c>
      <c r="J99" s="556" t="str">
        <f aca="false">"[pt]"&amp;E99</f>
        <v>[pt]mittel</v>
      </c>
      <c r="K99" s="556" t="str">
        <f aca="false">"[gr]"&amp;E99</f>
        <v>[gr]mittel</v>
      </c>
    </row>
    <row r="100" customFormat="false" ht="15.75" hidden="false" customHeight="true" outlineLevel="0" collapsed="false">
      <c r="C100" s="576" t="n">
        <v>1</v>
      </c>
      <c r="D100" s="559" t="str">
        <f aca="false">HLOOKUP($C$1,$E$1:$X$4910,ROW(D100))</f>
        <v>low</v>
      </c>
      <c r="E100" s="556" t="s">
        <v>159</v>
      </c>
      <c r="F100" s="556" t="s">
        <v>1073</v>
      </c>
      <c r="G100" s="563" t="s">
        <v>1074</v>
      </c>
      <c r="H100" s="556" t="s">
        <v>1075</v>
      </c>
      <c r="I100" s="556" t="str">
        <f aca="false">"[fr]"&amp;E100</f>
        <v>[fr]niedrig</v>
      </c>
      <c r="J100" s="556" t="str">
        <f aca="false">"[pt]"&amp;E100</f>
        <v>[pt]niedrig</v>
      </c>
      <c r="K100" s="556" t="str">
        <f aca="false">"[gr]"&amp;E100</f>
        <v>[gr]niedrig</v>
      </c>
    </row>
    <row r="101" customFormat="false" ht="15.75" hidden="false" customHeight="true" outlineLevel="0" collapsed="false">
      <c r="C101" s="576" t="n">
        <v>0</v>
      </c>
      <c r="D101" s="559" t="str">
        <f aca="false">HLOOKUP($C$1,$E$1:$X$4910,ROW(D101))</f>
        <v>not applicable</v>
      </c>
      <c r="E101" s="556" t="s">
        <v>158</v>
      </c>
      <c r="F101" s="556" t="s">
        <v>1076</v>
      </c>
      <c r="G101" s="563" t="s">
        <v>1077</v>
      </c>
      <c r="H101" s="556" t="s">
        <v>1078</v>
      </c>
      <c r="I101" s="556" t="str">
        <f aca="false">"[fr]"&amp;E101</f>
        <v>[fr]trifft nicht zu</v>
      </c>
      <c r="J101" s="556" t="str">
        <f aca="false">"[pt]"&amp;E101</f>
        <v>[pt]trifft nicht zu</v>
      </c>
      <c r="K101" s="556" t="str">
        <f aca="false">"[gr]"&amp;E101</f>
        <v>[gr]trifft nicht zu</v>
      </c>
    </row>
    <row r="102" customFormat="false" ht="15.75" hidden="false" customHeight="true" outlineLevel="0" collapsed="false">
      <c r="D102" s="559" t="str">
        <f aca="false">HLOOKUP($C$1,$E$1:$X$4910,ROW(D102))</f>
        <v>Current status</v>
      </c>
      <c r="E102" s="562" t="s">
        <v>1079</v>
      </c>
      <c r="F102" s="556" t="s">
        <v>1080</v>
      </c>
      <c r="G102" s="563" t="s">
        <v>1081</v>
      </c>
      <c r="H102" s="556" t="s">
        <v>1082</v>
      </c>
      <c r="I102" s="556" t="str">
        <f aca="false">"[fr]"&amp;E102</f>
        <v>[fr]Erläuterung</v>
      </c>
      <c r="J102" s="577" t="s">
        <v>1083</v>
      </c>
      <c r="K102" s="556" t="str">
        <f aca="false">"[gr]"&amp;E102</f>
        <v>[gr]Erläuterung</v>
      </c>
    </row>
    <row r="103" customFormat="false" ht="15.75" hidden="false" customHeight="true" outlineLevel="0" collapsed="false">
      <c r="D103" s="559" t="str">
        <f aca="false">HLOOKUP($C$1,$E$1:$X$4910,ROW(D103))</f>
        <v>Potential for improvement</v>
      </c>
      <c r="E103" s="556" t="s">
        <v>1084</v>
      </c>
      <c r="F103" s="556" t="s">
        <v>1085</v>
      </c>
      <c r="G103" s="563" t="s">
        <v>1086</v>
      </c>
      <c r="H103" s="556" t="s">
        <v>1087</v>
      </c>
      <c r="I103" s="556" t="str">
        <f aca="false">"[fr]"&amp;E103</f>
        <v>[fr]Verbesserungspotenzial</v>
      </c>
      <c r="J103" s="556" t="s">
        <v>1088</v>
      </c>
      <c r="K103" s="556" t="str">
        <f aca="false">"[gr]"&amp;E103</f>
        <v>[gr]Verbesserungspotenzial</v>
      </c>
    </row>
    <row r="104" customFormat="false" ht="15.75" hidden="false" customHeight="true" outlineLevel="0" collapsed="false">
      <c r="D104" s="559" t="str">
        <f aca="false">HLOOKUP($C$1,$E$1:$X$4910,ROW(D104))</f>
        <v>Est%</v>
      </c>
      <c r="E104" s="556" t="s">
        <v>1089</v>
      </c>
      <c r="F104" s="556" t="s">
        <v>1090</v>
      </c>
      <c r="G104" s="563" t="s">
        <v>1091</v>
      </c>
      <c r="H104" s="556" t="s">
        <v>1092</v>
      </c>
      <c r="I104" s="556" t="str">
        <f aca="false">"[fr]"&amp;E104</f>
        <v>[fr]Erfüll.</v>
      </c>
      <c r="J104" s="556" t="str">
        <f aca="false">"[pt]"&amp;E104</f>
        <v>[pt]Erfüll.</v>
      </c>
      <c r="K104" s="556" t="str">
        <f aca="false">"[gr]"&amp;E104</f>
        <v>[gr]Erfüll.</v>
      </c>
    </row>
    <row r="105" customFormat="false" ht="15.75" hidden="false" customHeight="true" outlineLevel="0" collapsed="false">
      <c r="D105" s="559" t="str">
        <f aca="false">HLOOKUP($C$1,$E$1:$X$4910,ROW(D105))</f>
        <v>Points</v>
      </c>
      <c r="E105" s="556" t="s">
        <v>1093</v>
      </c>
      <c r="F105" s="556" t="s">
        <v>1094</v>
      </c>
      <c r="G105" s="563" t="s">
        <v>1095</v>
      </c>
      <c r="H105" s="556" t="s">
        <v>1096</v>
      </c>
      <c r="I105" s="556" t="str">
        <f aca="false">"[fr]"&amp;E105</f>
        <v>[fr]Pkte</v>
      </c>
      <c r="J105" s="556" t="str">
        <f aca="false">"[pt]"&amp;E105</f>
        <v>[pt]Pkte</v>
      </c>
      <c r="K105" s="556" t="str">
        <f aca="false">"[gr]"&amp;E105</f>
        <v>[gr]Pkte</v>
      </c>
    </row>
    <row r="106" customFormat="false" ht="15.75" hidden="false" customHeight="true" outlineLevel="0" collapsed="false">
      <c r="D106" s="559" t="str">
        <f aca="false">HLOOKUP($C$1,$E$1:$X$4910,ROW(D106))</f>
        <v>Max.</v>
      </c>
      <c r="E106" s="556" t="s">
        <v>1097</v>
      </c>
      <c r="F106" s="556" t="s">
        <v>1097</v>
      </c>
      <c r="G106" s="563" t="s">
        <v>1097</v>
      </c>
      <c r="H106" s="556" t="s">
        <v>1097</v>
      </c>
      <c r="I106" s="556" t="str">
        <f aca="false">"[fr]"&amp;E106</f>
        <v>[fr]Max.</v>
      </c>
      <c r="J106" s="556" t="str">
        <f aca="false">"[pt]"&amp;E106</f>
        <v>[pt]Max.</v>
      </c>
      <c r="K106" s="556" t="str">
        <f aca="false">"[gr]"&amp;E106</f>
        <v>[gr]Max.</v>
      </c>
    </row>
    <row r="107" customFormat="false" ht="15.75" hidden="false" customHeight="true" outlineLevel="0" collapsed="false">
      <c r="D107" s="559" t="str">
        <f aca="false">HLOOKUP($C$1,$E$1:$X$4910,ROW(D107))</f>
        <v>Stakeholders/ Themes/ Aspects</v>
      </c>
      <c r="E107" s="556" t="s">
        <v>1056</v>
      </c>
      <c r="F107" s="556" t="s">
        <v>1098</v>
      </c>
      <c r="G107" s="563" t="s">
        <v>1099</v>
      </c>
      <c r="H107" s="556" t="s">
        <v>1059</v>
      </c>
      <c r="I107" s="556" t="str">
        <f aca="false">"[fr]"&amp;E107</f>
        <v>[fr]Berührungsgruppe/Themen/Aspekte</v>
      </c>
      <c r="J107" s="556" t="s">
        <v>1100</v>
      </c>
      <c r="K107" s="556" t="str">
        <f aca="false">"[gr]"&amp;E107</f>
        <v>[gr]Berührungsgruppe/Themen/Aspekte</v>
      </c>
    </row>
    <row r="108" customFormat="false" ht="15.75" hidden="false" customHeight="true" outlineLevel="0" collapsed="false">
      <c r="B108" s="578" t="str">
        <f aca="false">C108&amp;": "&amp;D108</f>
        <v>A: Suppliers</v>
      </c>
      <c r="C108" s="579" t="s">
        <v>22</v>
      </c>
      <c r="D108" s="559" t="str">
        <f aca="false">HLOOKUP($C$1,$E$1:$X$4910,ROW(D108))</f>
        <v>Suppliers</v>
      </c>
      <c r="E108" s="580" t="s">
        <v>1101</v>
      </c>
      <c r="F108" s="581" t="s">
        <v>1102</v>
      </c>
      <c r="G108" s="563" t="s">
        <v>1103</v>
      </c>
      <c r="H108" s="556" t="s">
        <v>1104</v>
      </c>
      <c r="I108" s="556" t="str">
        <f aca="false">"[fr]"&amp;E108</f>
        <v>[fr]Lieferant*innen</v>
      </c>
      <c r="J108" s="582" t="s">
        <v>1105</v>
      </c>
      <c r="K108" s="556" t="str">
        <f aca="false">"[gr]"&amp;E108</f>
        <v>[gr]Lieferant*innen</v>
      </c>
    </row>
    <row r="109" customFormat="false" ht="28.5" hidden="false" customHeight="true" outlineLevel="0" collapsed="false">
      <c r="B109" s="555" t="str">
        <f aca="false">C109&amp;": "&amp;D109</f>
        <v>A1: Human dignity in the supply chain</v>
      </c>
      <c r="C109" s="583" t="s">
        <v>23</v>
      </c>
      <c r="D109" s="559" t="str">
        <f aca="false">HLOOKUP($C$1,$E$1:$X$4910,ROW(D109))</f>
        <v>Human dignity in the supply chain</v>
      </c>
      <c r="E109" s="584" t="s">
        <v>1106</v>
      </c>
      <c r="F109" s="585" t="s">
        <v>1107</v>
      </c>
      <c r="G109" s="563" t="s">
        <v>1108</v>
      </c>
      <c r="H109" s="556" t="s">
        <v>1109</v>
      </c>
      <c r="I109" s="556" t="str">
        <f aca="false">"[fr]"&amp;E109</f>
        <v>[fr]Menschenwürde in der Zulieferkette</v>
      </c>
      <c r="J109" s="586" t="s">
        <v>1110</v>
      </c>
      <c r="K109" s="556" t="str">
        <f aca="false">"[gr]"&amp;E109</f>
        <v>[gr]Menschenwürde in der Zulieferkette</v>
      </c>
    </row>
    <row r="110" customFormat="false" ht="28.5" hidden="false" customHeight="true" outlineLevel="0" collapsed="false">
      <c r="C110" s="587" t="s">
        <v>24</v>
      </c>
      <c r="D110" s="559" t="str">
        <f aca="false">HLOOKUP($C$1,$E$1:$X$4910,ROW(D110))</f>
        <v>Working conditions and social impact in the supply chain</v>
      </c>
      <c r="E110" s="587" t="s">
        <v>1111</v>
      </c>
      <c r="F110" s="556" t="s">
        <v>1112</v>
      </c>
      <c r="G110" s="563" t="s">
        <v>1113</v>
      </c>
      <c r="H110" s="556" t="s">
        <v>1114</v>
      </c>
      <c r="I110" s="556" t="str">
        <f aca="false">"[fr]"&amp;E110</f>
        <v>[fr]Arbeitsbedingungen und gesellschaftliche Auswirkungen in der Zulieferkette</v>
      </c>
      <c r="J110" s="588" t="s">
        <v>1115</v>
      </c>
      <c r="K110" s="556" t="str">
        <f aca="false">"[gr]"&amp;E110</f>
        <v>[gr]Arbeitsbedingungen und gesellschaftliche Auswirkungen in der Zulieferkette</v>
      </c>
    </row>
    <row r="111" customFormat="false" ht="28.5" hidden="false" customHeight="true" outlineLevel="0" collapsed="false">
      <c r="C111" s="587" t="s">
        <v>25</v>
      </c>
      <c r="D111" s="559" t="str">
        <f aca="false">HLOOKUP($C$1,$E$1:$X$4910,ROW(D111))</f>
        <v>Negative aspect: violation of human dignity in the supply chain</v>
      </c>
      <c r="E111" s="587" t="s">
        <v>1116</v>
      </c>
      <c r="F111" s="563" t="s">
        <v>1117</v>
      </c>
      <c r="G111" s="563" t="s">
        <v>1118</v>
      </c>
      <c r="H111" s="556" t="s">
        <v>1119</v>
      </c>
      <c r="I111" s="556" t="str">
        <f aca="false">"[fr]"&amp;E111</f>
        <v>[fr]Negativ-Aspekt: Verletzung der Menschenwürde in der Zulieferkette</v>
      </c>
      <c r="J111" s="588" t="s">
        <v>1120</v>
      </c>
      <c r="K111" s="556" t="str">
        <f aca="false">"[gr]"&amp;E111</f>
        <v>[gr]Negativ-Aspekt: Verletzung der Menschenwürde in der Zulieferkette</v>
      </c>
    </row>
    <row r="112" customFormat="false" ht="28.5" hidden="false" customHeight="true" outlineLevel="0" collapsed="false">
      <c r="B112" s="555" t="str">
        <f aca="false">C112&amp;": "&amp;D112</f>
        <v>A2: Solidarity and social justice in the supply chain</v>
      </c>
      <c r="C112" s="583" t="s">
        <v>26</v>
      </c>
      <c r="D112" s="559" t="str">
        <f aca="false">HLOOKUP($C$1,$E$1:$X$4910,ROW(D112))</f>
        <v>Solidarity and social justice in the supply chain</v>
      </c>
      <c r="E112" s="584" t="s">
        <v>1121</v>
      </c>
      <c r="F112" s="585" t="s">
        <v>1122</v>
      </c>
      <c r="G112" s="563" t="s">
        <v>1123</v>
      </c>
      <c r="H112" s="556" t="s">
        <v>1124</v>
      </c>
      <c r="I112" s="556" t="str">
        <f aca="false">"[fr]"&amp;E112</f>
        <v>[fr]Solidarität und Gerechtigkeit in der Zulieferkette</v>
      </c>
      <c r="J112" s="586" t="s">
        <v>1125</v>
      </c>
      <c r="K112" s="556" t="str">
        <f aca="false">"[gr]"&amp;E112</f>
        <v>[gr]Solidarität und Gerechtigkeit in der Zulieferkette</v>
      </c>
    </row>
    <row r="113" customFormat="false" ht="28.5" hidden="false" customHeight="true" outlineLevel="0" collapsed="false">
      <c r="C113" s="587" t="s">
        <v>27</v>
      </c>
      <c r="D113" s="559" t="str">
        <f aca="false">HLOOKUP($C$1,$E$1:$X$4910,ROW(D113))</f>
        <v>Fair business practices towards direct suppliers</v>
      </c>
      <c r="E113" s="587" t="s">
        <v>1126</v>
      </c>
      <c r="F113" s="556" t="s">
        <v>1127</v>
      </c>
      <c r="G113" s="563" t="s">
        <v>1128</v>
      </c>
      <c r="H113" s="556" t="s">
        <v>1129</v>
      </c>
      <c r="I113" s="556" t="str">
        <f aca="false">"[fr]"&amp;E113</f>
        <v>[fr]Faire Geschäftsbeziehungen zu direkten Lieferant*innen</v>
      </c>
      <c r="J113" s="588" t="s">
        <v>1130</v>
      </c>
      <c r="K113" s="556" t="str">
        <f aca="false">"[gr]"&amp;E113</f>
        <v>[gr]Faire Geschäftsbeziehungen zu direkten Lieferant*innen</v>
      </c>
    </row>
    <row r="114" customFormat="false" ht="28.5" hidden="false" customHeight="true" outlineLevel="0" collapsed="false">
      <c r="C114" s="587" t="s">
        <v>28</v>
      </c>
      <c r="D114" s="559" t="str">
        <f aca="false">HLOOKUP($C$1,$E$1:$X$4910,ROW(D114))</f>
        <v>Exercising a positive influence on solidarity and social justice in the supply chain</v>
      </c>
      <c r="E114" s="587" t="s">
        <v>1131</v>
      </c>
      <c r="F114" s="556" t="s">
        <v>1132</v>
      </c>
      <c r="G114" s="563" t="s">
        <v>1133</v>
      </c>
      <c r="H114" s="556" t="s">
        <v>1134</v>
      </c>
      <c r="I114" s="556" t="str">
        <f aca="false">"[fr]"&amp;E114</f>
        <v>[fr]Positive Einflussnahme auf Solidarität und Gerechtigkeit in der gesamten Zulieferkette</v>
      </c>
      <c r="J114" s="588" t="s">
        <v>1135</v>
      </c>
      <c r="K114" s="556" t="str">
        <f aca="false">"[gr]"&amp;E114</f>
        <v>[gr]Positive Einflussnahme auf Solidarität und Gerechtigkeit in der gesamten Zulieferkette</v>
      </c>
    </row>
    <row r="115" customFormat="false" ht="28.5" hidden="false" customHeight="true" outlineLevel="0" collapsed="false">
      <c r="C115" s="587" t="s">
        <v>29</v>
      </c>
      <c r="D115" s="559" t="str">
        <f aca="false">HLOOKUP($C$1,$E$1:$X$4910,ROW(D115))</f>
        <v>Negative aspect: abuse of market power against suppliers</v>
      </c>
      <c r="E115" s="587" t="s">
        <v>1136</v>
      </c>
      <c r="F115" s="556" t="s">
        <v>1137</v>
      </c>
      <c r="G115" s="563" t="s">
        <v>1138</v>
      </c>
      <c r="H115" s="556" t="s">
        <v>1139</v>
      </c>
      <c r="I115" s="556" t="str">
        <f aca="false">"[fr]"&amp;E115</f>
        <v>[fr]Negativ-Aspekt: Ausnutzung der Marktmacht gegenüber Lieferant*innen</v>
      </c>
      <c r="J115" s="588" t="s">
        <v>1140</v>
      </c>
      <c r="K115" s="556" t="str">
        <f aca="false">"[gr]"&amp;E115</f>
        <v>[gr]Negativ-Aspekt: Ausnutzung der Marktmacht gegenüber Lieferant*innen</v>
      </c>
    </row>
    <row r="116" customFormat="false" ht="28.5" hidden="false" customHeight="true" outlineLevel="0" collapsed="false">
      <c r="B116" s="555" t="str">
        <f aca="false">C116&amp;": "&amp;D116</f>
        <v>A3: Environmental sustainability in the supply chain</v>
      </c>
      <c r="C116" s="583" t="s">
        <v>30</v>
      </c>
      <c r="D116" s="559" t="str">
        <f aca="false">HLOOKUP($C$1,$E$1:$X$4910,ROW(D116))</f>
        <v>Environmental sustainability in the supply chain</v>
      </c>
      <c r="E116" s="584" t="s">
        <v>1141</v>
      </c>
      <c r="F116" s="585" t="s">
        <v>1142</v>
      </c>
      <c r="G116" s="563" t="s">
        <v>1143</v>
      </c>
      <c r="H116" s="556" t="s">
        <v>1144</v>
      </c>
      <c r="I116" s="556" t="str">
        <f aca="false">"[fr]"&amp;E116</f>
        <v>[fr]Ökologische Nachhaltigkeit in der Zulieferkette</v>
      </c>
      <c r="J116" s="586" t="s">
        <v>1145</v>
      </c>
      <c r="K116" s="556" t="str">
        <f aca="false">"[gr]"&amp;E116</f>
        <v>[gr]Ökologische Nachhaltigkeit in der Zulieferkette</v>
      </c>
    </row>
    <row r="117" customFormat="false" ht="28.5" hidden="false" customHeight="true" outlineLevel="0" collapsed="false">
      <c r="C117" s="587" t="s">
        <v>31</v>
      </c>
      <c r="D117" s="559" t="str">
        <f aca="false">HLOOKUP($C$1,$E$1:$X$4910,ROW(D117))</f>
        <v>Environmental impact throughout the supply chain</v>
      </c>
      <c r="E117" s="587" t="s">
        <v>1146</v>
      </c>
      <c r="F117" s="556" t="s">
        <v>1147</v>
      </c>
      <c r="G117" s="563" t="s">
        <v>1148</v>
      </c>
      <c r="H117" s="556" t="s">
        <v>1149</v>
      </c>
      <c r="I117" s="556" t="str">
        <f aca="false">"[fr]"&amp;E117</f>
        <v>[fr]Umweltauswirkungen in der Zulieferkette</v>
      </c>
      <c r="J117" s="588" t="s">
        <v>1150</v>
      </c>
      <c r="K117" s="556" t="str">
        <f aca="false">"[gr]"&amp;E117</f>
        <v>[gr]Umweltauswirkungen in der Zulieferkette</v>
      </c>
    </row>
    <row r="118" customFormat="false" ht="41.85" hidden="false" customHeight="true" outlineLevel="0" collapsed="false">
      <c r="C118" s="587" t="s">
        <v>32</v>
      </c>
      <c r="D118" s="559" t="str">
        <f aca="false">HLOOKUP($C$1,$E$1:$X$4910,ROW(D118))</f>
        <v>Negative aspect: disproportionate environmental impact throughout the supply chain</v>
      </c>
      <c r="E118" s="587" t="s">
        <v>1151</v>
      </c>
      <c r="F118" s="556" t="s">
        <v>1152</v>
      </c>
      <c r="G118" s="563" t="s">
        <v>1153</v>
      </c>
      <c r="H118" s="556" t="s">
        <v>1154</v>
      </c>
      <c r="I118" s="556" t="str">
        <f aca="false">"[fr]"&amp;E118</f>
        <v>[fr]Negativ-Aspekt:Unverhältnismäßig hohe Umweltauswirkungen in der Zulieferkette</v>
      </c>
      <c r="J118" s="588" t="s">
        <v>1155</v>
      </c>
      <c r="K118" s="556" t="str">
        <f aca="false">"[gr]"&amp;E118</f>
        <v>[gr]Negativ-Aspekt:Unverhältnismäßig hohe Umweltauswirkungen in der Zulieferkette</v>
      </c>
    </row>
    <row r="119" customFormat="false" ht="41.85" hidden="false" customHeight="true" outlineLevel="0" collapsed="false">
      <c r="B119" s="555" t="str">
        <f aca="false">C119&amp;": "&amp;D119</f>
        <v>A4: Transparency &amp; co-determination in the supply chain</v>
      </c>
      <c r="C119" s="583" t="s">
        <v>33</v>
      </c>
      <c r="D119" s="559" t="str">
        <f aca="false">HLOOKUP($C$1,$E$1:$X$4910,ROW(D119))</f>
        <v>Transparency &amp; co-determination in the supply chain</v>
      </c>
      <c r="E119" s="584" t="s">
        <v>1156</v>
      </c>
      <c r="F119" s="585" t="s">
        <v>1157</v>
      </c>
      <c r="G119" s="563" t="s">
        <v>1158</v>
      </c>
      <c r="H119" s="556" t="s">
        <v>1159</v>
      </c>
      <c r="I119" s="556" t="str">
        <f aca="false">"[fr]"&amp;E119</f>
        <v>[fr]Transparenz und Mitentscheidung in der Zulieferkette</v>
      </c>
      <c r="J119" s="586" t="s">
        <v>1160</v>
      </c>
      <c r="K119" s="556" t="str">
        <f aca="false">"[gr]"&amp;E119</f>
        <v>[gr]Transparenz und Mitentscheidung in der Zulieferkette</v>
      </c>
    </row>
    <row r="120" customFormat="false" ht="28.5" hidden="false" customHeight="true" outlineLevel="0" collapsed="false">
      <c r="C120" s="587" t="s">
        <v>34</v>
      </c>
      <c r="D120" s="559" t="str">
        <f aca="false">HLOOKUP($C$1,$E$1:$X$4910,ROW(D120))</f>
        <v>Transparency towards suppliers and their right to co-determination</v>
      </c>
      <c r="E120" s="587" t="s">
        <v>1161</v>
      </c>
      <c r="F120" s="556" t="s">
        <v>1162</v>
      </c>
      <c r="G120" s="563" t="s">
        <v>1163</v>
      </c>
      <c r="H120" s="556" t="s">
        <v>1164</v>
      </c>
      <c r="I120" s="556" t="str">
        <f aca="false">"[fr]"&amp;E120</f>
        <v>[fr]Transparenz und Mitentscheidungsrechte für Lieferant*innen</v>
      </c>
      <c r="J120" s="589" t="s">
        <v>1165</v>
      </c>
      <c r="K120" s="556" t="str">
        <f aca="false">"[gr]"&amp;E120</f>
        <v>[gr]Transparenz und Mitentscheidungsrechte für Lieferant*innen</v>
      </c>
    </row>
    <row r="121" customFormat="false" ht="38.85" hidden="false" customHeight="true" outlineLevel="0" collapsed="false">
      <c r="C121" s="587" t="s">
        <v>35</v>
      </c>
      <c r="D121" s="559" t="str">
        <f aca="false">HLOOKUP($C$1,$E$1:$X$4910,ROW(D121))</f>
        <v>Positive influence on transparency and co-determination throughout the supply chain</v>
      </c>
      <c r="E121" s="587" t="s">
        <v>1166</v>
      </c>
      <c r="F121" s="556" t="s">
        <v>1167</v>
      </c>
      <c r="G121" s="563" t="s">
        <v>1168</v>
      </c>
      <c r="H121" s="556" t="s">
        <v>1169</v>
      </c>
      <c r="I121" s="556" t="str">
        <f aca="false">"[fr]"&amp;E121</f>
        <v>[fr]Positive Einflussnahme auf Transparenz und Mitentscheidung in der gesamten Zulieferkette</v>
      </c>
      <c r="J121" s="589" t="s">
        <v>1170</v>
      </c>
      <c r="K121" s="556" t="str">
        <f aca="false">"[gr]"&amp;E121</f>
        <v>[gr]Positive Einflussnahme auf Transparenz und Mitentscheidung in der gesamten Zulieferkette</v>
      </c>
    </row>
    <row r="122" customFormat="false" ht="28.5" hidden="false" customHeight="true" outlineLevel="0" collapsed="false">
      <c r="B122" s="578" t="str">
        <f aca="false">C122&amp;": "&amp;D122</f>
        <v>B: Owners, equity- and financial service providers</v>
      </c>
      <c r="C122" s="579" t="s">
        <v>36</v>
      </c>
      <c r="D122" s="559" t="str">
        <f aca="false">HLOOKUP($C$1,$E$1:$X$4910,ROW(D122))</f>
        <v>Owners, equity- and financial service providers</v>
      </c>
      <c r="E122" s="590" t="s">
        <v>1171</v>
      </c>
      <c r="F122" s="581" t="s">
        <v>1172</v>
      </c>
      <c r="G122" s="563" t="s">
        <v>1173</v>
      </c>
      <c r="H122" s="556" t="s">
        <v>1174</v>
      </c>
      <c r="I122" s="556" t="str">
        <f aca="false">"[fr]"&amp;E122</f>
        <v>[fr]Eigentümer*innen und Finanzpartner*innen</v>
      </c>
      <c r="J122" s="582" t="s">
        <v>1175</v>
      </c>
      <c r="K122" s="556" t="str">
        <f aca="false">"[gr]"&amp;E122</f>
        <v>[gr]Eigentümer*innen und Finanzpartner*innen</v>
      </c>
    </row>
    <row r="123" customFormat="false" ht="28.5" hidden="false" customHeight="true" outlineLevel="0" collapsed="false">
      <c r="B123" s="555" t="str">
        <f aca="false">C123&amp;": "&amp;D123</f>
        <v>B1: Ethical position in relation to financial resources</v>
      </c>
      <c r="C123" s="583" t="s">
        <v>37</v>
      </c>
      <c r="D123" s="559" t="str">
        <f aca="false">HLOOKUP($C$1,$E$1:$X$4910,ROW(D123))</f>
        <v>Ethical position in relation to financial resources</v>
      </c>
      <c r="E123" s="584" t="s">
        <v>1176</v>
      </c>
      <c r="F123" s="585" t="s">
        <v>1177</v>
      </c>
      <c r="G123" s="563" t="s">
        <v>1178</v>
      </c>
      <c r="H123" s="556" t="s">
        <v>1179</v>
      </c>
      <c r="I123" s="556" t="str">
        <f aca="false">"[fr]"&amp;E123</f>
        <v>[fr]Ethische Haltung im Umgang mit Geldmitteln</v>
      </c>
      <c r="J123" s="591" t="s">
        <v>1180</v>
      </c>
      <c r="K123" s="576"/>
      <c r="L123" s="576"/>
    </row>
    <row r="124" customFormat="false" ht="28.5" hidden="false" customHeight="true" outlineLevel="0" collapsed="false">
      <c r="C124" s="592" t="s">
        <v>38</v>
      </c>
      <c r="D124" s="559" t="str">
        <f aca="false">HLOOKUP($C$1,$E$1:$X$4910,ROW(D124))</f>
        <v>Financial independence through equity financing</v>
      </c>
      <c r="E124" s="587" t="s">
        <v>1181</v>
      </c>
      <c r="F124" s="556" t="s">
        <v>1182</v>
      </c>
      <c r="G124" s="563" t="s">
        <v>1183</v>
      </c>
      <c r="H124" s="556" t="s">
        <v>1184</v>
      </c>
      <c r="I124" s="556" t="str">
        <f aca="false">"[fr]"&amp;E124</f>
        <v>[fr]Finanzielle Unabhängigkeit durch Eigenfinanzierung</v>
      </c>
      <c r="J124" s="593" t="s">
        <v>1185</v>
      </c>
      <c r="K124" s="576"/>
      <c r="L124" s="576"/>
    </row>
    <row r="125" customFormat="false" ht="28.5" hidden="false" customHeight="true" outlineLevel="0" collapsed="false">
      <c r="C125" s="56" t="s">
        <v>39</v>
      </c>
      <c r="D125" s="559" t="str">
        <f aca="false">HLOOKUP($C$1,$E$1:$X$4910,ROW(D125))</f>
        <v>Common Good-orientated borrowing</v>
      </c>
      <c r="E125" s="594" t="s">
        <v>1186</v>
      </c>
      <c r="F125" s="556" t="s">
        <v>1187</v>
      </c>
      <c r="G125" s="563" t="s">
        <v>1188</v>
      </c>
      <c r="H125" s="556" t="s">
        <v>1189</v>
      </c>
      <c r="I125" s="556" t="str">
        <f aca="false">"[fr]"&amp;E125</f>
        <v>[fr]Gemeinwohlorientierte Fremdfinanzierung</v>
      </c>
      <c r="J125" s="593" t="s">
        <v>1190</v>
      </c>
      <c r="K125" s="576"/>
      <c r="L125" s="576"/>
    </row>
    <row r="126" customFormat="false" ht="28.5" hidden="false" customHeight="true" outlineLevel="0" collapsed="false">
      <c r="C126" s="56" t="s">
        <v>40</v>
      </c>
      <c r="D126" s="559" t="str">
        <f aca="false">HLOOKUP($C$1,$E$1:$X$4910,ROW(D126))</f>
        <v>Ethical position of external financial partners</v>
      </c>
      <c r="E126" s="594" t="s">
        <v>1191</v>
      </c>
      <c r="F126" s="556" t="s">
        <v>1192</v>
      </c>
      <c r="G126" s="563" t="s">
        <v>1193</v>
      </c>
      <c r="H126" s="556" t="s">
        <v>1194</v>
      </c>
      <c r="I126" s="556" t="str">
        <f aca="false">"[fr]"&amp;E126</f>
        <v>[fr]Ethische Haltung externer Finanzpartner*innen</v>
      </c>
      <c r="J126" s="593" t="s">
        <v>1195</v>
      </c>
      <c r="K126" s="576"/>
      <c r="L126" s="576"/>
    </row>
    <row r="127" customFormat="false" ht="28.5" hidden="false" customHeight="true" outlineLevel="0" collapsed="false">
      <c r="B127" s="555" t="str">
        <f aca="false">C127&amp;": "&amp;D127</f>
        <v>B2: Social position in relation to financial resources</v>
      </c>
      <c r="C127" s="583" t="s">
        <v>41</v>
      </c>
      <c r="D127" s="559" t="str">
        <f aca="false">HLOOKUP($C$1,$E$1:$X$4910,ROW(D127))</f>
        <v>Social position in relation to financial resources</v>
      </c>
      <c r="E127" s="584" t="s">
        <v>1196</v>
      </c>
      <c r="F127" s="585" t="s">
        <v>1197</v>
      </c>
      <c r="G127" s="563" t="s">
        <v>1198</v>
      </c>
      <c r="H127" s="556" t="s">
        <v>1199</v>
      </c>
      <c r="I127" s="556" t="str">
        <f aca="false">"[fr]"&amp;E127</f>
        <v>[fr]Soziale Haltung im Umgang mit Geldmitteln</v>
      </c>
      <c r="J127" s="591" t="s">
        <v>1200</v>
      </c>
      <c r="K127" s="576"/>
      <c r="L127" s="576"/>
    </row>
    <row r="128" customFormat="false" ht="28.5" hidden="false" customHeight="true" outlineLevel="0" collapsed="false">
      <c r="C128" s="592" t="s">
        <v>42</v>
      </c>
      <c r="D128" s="559" t="str">
        <f aca="false">HLOOKUP($C$1,$E$1:$X$4910,ROW(D128))</f>
        <v>Solidarity and Common Good-orientated use of funds</v>
      </c>
      <c r="E128" s="587" t="s">
        <v>1201</v>
      </c>
      <c r="F128" s="556" t="s">
        <v>1202</v>
      </c>
      <c r="G128" s="563" t="s">
        <v>1203</v>
      </c>
      <c r="H128" s="556" t="s">
        <v>1204</v>
      </c>
      <c r="I128" s="556" t="str">
        <f aca="false">"[fr]"&amp;E128</f>
        <v>[fr]Solidarische und gemeinwohlorientierte Mittelverwendung</v>
      </c>
      <c r="J128" s="593" t="s">
        <v>1205</v>
      </c>
      <c r="K128" s="576"/>
      <c r="L128" s="576"/>
    </row>
    <row r="129" customFormat="false" ht="28.5" hidden="false" customHeight="true" outlineLevel="0" collapsed="false">
      <c r="C129" s="56" t="s">
        <v>43</v>
      </c>
      <c r="D129" s="559" t="str">
        <f aca="false">HLOOKUP($C$1,$E$1:$X$4910,ROW(D129))</f>
        <v>Negative aspect: unfair distribution of funds</v>
      </c>
      <c r="E129" s="594" t="s">
        <v>1206</v>
      </c>
      <c r="F129" s="556" t="s">
        <v>1207</v>
      </c>
      <c r="G129" s="563" t="s">
        <v>1208</v>
      </c>
      <c r="H129" s="556" t="s">
        <v>1209</v>
      </c>
      <c r="I129" s="556" t="str">
        <f aca="false">"[fr]"&amp;E129</f>
        <v>[fr]Negativ-Aspekt: Unfaire Verteilung von Geldmittel</v>
      </c>
      <c r="J129" s="593" t="s">
        <v>1210</v>
      </c>
      <c r="K129" s="576"/>
      <c r="L129" s="576"/>
    </row>
    <row r="130" customFormat="false" ht="28.5" hidden="false" customHeight="true" outlineLevel="0" collapsed="false">
      <c r="B130" s="555" t="str">
        <f aca="false">C130&amp;": "&amp;D130</f>
        <v>B3: Use of funds in relation to social and environmental impacts</v>
      </c>
      <c r="C130" s="583" t="s">
        <v>44</v>
      </c>
      <c r="D130" s="559" t="str">
        <f aca="false">HLOOKUP($C$1,$E$1:$X$4910,ROW(D130))</f>
        <v>Use of funds in relation to social and environmental impacts</v>
      </c>
      <c r="E130" s="584" t="s">
        <v>1211</v>
      </c>
      <c r="F130" s="585" t="s">
        <v>1212</v>
      </c>
      <c r="G130" s="563" t="s">
        <v>1213</v>
      </c>
      <c r="H130" s="556" t="s">
        <v>1214</v>
      </c>
      <c r="I130" s="556" t="str">
        <f aca="false">"[fr]"&amp;E130</f>
        <v>[fr]Sozial-ökologische Investitionen und Mittelverwendung</v>
      </c>
      <c r="J130" s="591" t="s">
        <v>1215</v>
      </c>
      <c r="K130" s="576"/>
      <c r="L130" s="576"/>
    </row>
    <row r="131" customFormat="false" ht="15.75" hidden="false" customHeight="true" outlineLevel="0" collapsed="false">
      <c r="C131" s="592" t="s">
        <v>45</v>
      </c>
      <c r="D131" s="559" t="str">
        <f aca="false">HLOOKUP($C$1,$E$1:$X$4910,ROW(D131))</f>
        <v>Environmental quality of investments</v>
      </c>
      <c r="E131" s="587" t="s">
        <v>1216</v>
      </c>
      <c r="F131" s="556" t="s">
        <v>1217</v>
      </c>
      <c r="G131" s="563" t="s">
        <v>1218</v>
      </c>
      <c r="H131" s="556" t="s">
        <v>1219</v>
      </c>
      <c r="I131" s="556" t="str">
        <f aca="false">"[fr]"&amp;E131</f>
        <v>[fr]Ökologische Qualität der Investitionen</v>
      </c>
      <c r="J131" s="593" t="s">
        <v>1220</v>
      </c>
      <c r="K131" s="576"/>
      <c r="L131" s="576"/>
    </row>
    <row r="132" customFormat="false" ht="15.75" hidden="false" customHeight="true" outlineLevel="0" collapsed="false">
      <c r="C132" s="56" t="s">
        <v>46</v>
      </c>
      <c r="D132" s="559" t="str">
        <f aca="false">HLOOKUP($C$1,$E$1:$X$4910,ROW(D132))</f>
        <v>Common Good-orientated investment</v>
      </c>
      <c r="E132" s="594" t="s">
        <v>1221</v>
      </c>
      <c r="F132" s="556" t="s">
        <v>1222</v>
      </c>
      <c r="G132" s="563" t="s">
        <v>1223</v>
      </c>
      <c r="H132" s="556" t="s">
        <v>1224</v>
      </c>
      <c r="I132" s="556" t="str">
        <f aca="false">"[fr]"&amp;E132</f>
        <v>[fr]Gemeinwohlorientierte Veranlagung</v>
      </c>
      <c r="J132" s="593" t="s">
        <v>1225</v>
      </c>
      <c r="K132" s="576"/>
      <c r="L132" s="576"/>
    </row>
    <row r="133" customFormat="false" ht="28.5" hidden="false" customHeight="true" outlineLevel="0" collapsed="false">
      <c r="C133" s="56" t="s">
        <v>47</v>
      </c>
      <c r="D133" s="559" t="str">
        <f aca="false">HLOOKUP($C$1,$E$1:$X$4910,ROW(D133))</f>
        <v>Negative aspect: reliance on environmentally unsafe resources</v>
      </c>
      <c r="E133" s="594" t="s">
        <v>1226</v>
      </c>
      <c r="F133" s="556" t="s">
        <v>1227</v>
      </c>
      <c r="G133" s="563" t="s">
        <v>1228</v>
      </c>
      <c r="H133" s="556" t="s">
        <v>1229</v>
      </c>
      <c r="I133" s="556" t="str">
        <f aca="false">"[fr]"&amp;E133</f>
        <v>[fr]Negativ-Aspekt: Abhängigkeit von ökologisch bedenklichen Ressourcen</v>
      </c>
      <c r="J133" s="593" t="s">
        <v>1230</v>
      </c>
      <c r="K133" s="576"/>
      <c r="L133" s="576"/>
    </row>
    <row r="134" customFormat="false" ht="28.5" hidden="false" customHeight="true" outlineLevel="0" collapsed="false">
      <c r="B134" s="555" t="str">
        <f aca="false">C134&amp;": "&amp;D134</f>
        <v>B4: Ownership and co-determination</v>
      </c>
      <c r="C134" s="583" t="s">
        <v>48</v>
      </c>
      <c r="D134" s="559" t="str">
        <f aca="false">HLOOKUP($C$1,$E$1:$X$4910,ROW(D134))</f>
        <v>Ownership and co-determination</v>
      </c>
      <c r="E134" s="584" t="s">
        <v>1231</v>
      </c>
      <c r="F134" s="585" t="s">
        <v>1232</v>
      </c>
      <c r="G134" s="563" t="s">
        <v>1233</v>
      </c>
      <c r="H134" s="556" t="s">
        <v>1234</v>
      </c>
      <c r="I134" s="556" t="str">
        <f aca="false">"[fr]"&amp;E134</f>
        <v>[fr]Eigentum und Mitentscheidung</v>
      </c>
      <c r="J134" s="591" t="s">
        <v>1235</v>
      </c>
      <c r="K134" s="576"/>
      <c r="L134" s="576"/>
    </row>
    <row r="135" customFormat="false" ht="28.5" hidden="false" customHeight="true" outlineLevel="0" collapsed="false">
      <c r="C135" s="592" t="s">
        <v>49</v>
      </c>
      <c r="D135" s="559" t="str">
        <f aca="false">HLOOKUP($C$1,$E$1:$X$4910,ROW(D135))</f>
        <v>Common Good-orientated ownership structure</v>
      </c>
      <c r="E135" s="587" t="s">
        <v>1236</v>
      </c>
      <c r="F135" s="556" t="s">
        <v>1237</v>
      </c>
      <c r="G135" s="563" t="s">
        <v>1238</v>
      </c>
      <c r="H135" s="556" t="s">
        <v>1239</v>
      </c>
      <c r="I135" s="556" t="str">
        <f aca="false">"[fr]"&amp;E135</f>
        <v>[fr]Gemeinwohlorientierte Eigentumsstruktur</v>
      </c>
      <c r="J135" s="593" t="s">
        <v>1240</v>
      </c>
      <c r="K135" s="576"/>
      <c r="L135" s="576"/>
    </row>
    <row r="136" customFormat="false" ht="28.5" hidden="false" customHeight="true" outlineLevel="0" collapsed="false">
      <c r="C136" s="56" t="s">
        <v>50</v>
      </c>
      <c r="D136" s="559" t="str">
        <f aca="false">HLOOKUP($C$1,$E$1:$X$4910,ROW(D136))</f>
        <v>Negative aspect: hostile takeover</v>
      </c>
      <c r="E136" s="594" t="s">
        <v>1241</v>
      </c>
      <c r="F136" s="556" t="s">
        <v>1242</v>
      </c>
      <c r="G136" s="563" t="s">
        <v>1243</v>
      </c>
      <c r="H136" s="556" t="s">
        <v>1244</v>
      </c>
      <c r="I136" s="556" t="str">
        <f aca="false">"[fr]"&amp;E136</f>
        <v>[fr]Negativ-Aspekt: Feindliche Übernahme</v>
      </c>
      <c r="J136" s="593" t="s">
        <v>1245</v>
      </c>
      <c r="K136" s="576"/>
      <c r="L136" s="576"/>
    </row>
    <row r="137" customFormat="false" ht="15.75" hidden="false" customHeight="true" outlineLevel="0" collapsed="false">
      <c r="B137" s="578" t="str">
        <f aca="false">C137&amp;": "&amp;D137</f>
        <v>C: Employees</v>
      </c>
      <c r="C137" s="579" t="s">
        <v>51</v>
      </c>
      <c r="D137" s="559" t="str">
        <f aca="false">HLOOKUP($C$1,$E$1:$X$4910,ROW(D137))</f>
        <v>Employees</v>
      </c>
      <c r="E137" s="590" t="s">
        <v>1246</v>
      </c>
      <c r="F137" s="581" t="s">
        <v>1247</v>
      </c>
      <c r="G137" s="563" t="s">
        <v>1248</v>
      </c>
      <c r="H137" s="556" t="s">
        <v>1249</v>
      </c>
      <c r="I137" s="556" t="str">
        <f aca="false">"[fr]"&amp;E137</f>
        <v>[fr]Mitarbeitende</v>
      </c>
      <c r="J137" s="595" t="s">
        <v>1250</v>
      </c>
      <c r="K137" s="556" t="str">
        <f aca="false">"[gr]"&amp;E137</f>
        <v>[gr]Mitarbeitende</v>
      </c>
    </row>
    <row r="138" customFormat="false" ht="28.5" hidden="false" customHeight="true" outlineLevel="0" collapsed="false">
      <c r="B138" s="555" t="str">
        <f aca="false">C138&amp;": "&amp;D138</f>
        <v>C1: Human dignity in the workplace and working environment</v>
      </c>
      <c r="C138" s="583" t="s">
        <v>52</v>
      </c>
      <c r="D138" s="559" t="str">
        <f aca="false">HLOOKUP($C$1,$E$1:$X$4910,ROW(D138))</f>
        <v>Human dignity in the workplace and working environment</v>
      </c>
      <c r="E138" s="584" t="s">
        <v>1251</v>
      </c>
      <c r="F138" s="585" t="s">
        <v>1252</v>
      </c>
      <c r="G138" s="563" t="s">
        <v>1253</v>
      </c>
      <c r="H138" s="556" t="s">
        <v>1254</v>
      </c>
      <c r="I138" s="556" t="str">
        <f aca="false">"[fr]"&amp;E138</f>
        <v>[fr]Menschenwürde am Arbeitsplatz</v>
      </c>
      <c r="J138" s="591" t="s">
        <v>1255</v>
      </c>
      <c r="K138" s="576"/>
      <c r="L138" s="576"/>
    </row>
    <row r="139" customFormat="false" ht="28.5" hidden="false" customHeight="true" outlineLevel="0" collapsed="false">
      <c r="C139" s="587" t="s">
        <v>53</v>
      </c>
      <c r="D139" s="559" t="str">
        <f aca="false">HLOOKUP($C$1,$E$1:$X$4910,ROW(D139))</f>
        <v>Employee-focused organisational culture</v>
      </c>
      <c r="E139" s="587" t="s">
        <v>1256</v>
      </c>
      <c r="F139" s="556" t="s">
        <v>1257</v>
      </c>
      <c r="G139" s="563" t="s">
        <v>1258</v>
      </c>
      <c r="H139" s="556" t="s">
        <v>1259</v>
      </c>
      <c r="I139" s="556" t="str">
        <f aca="false">"[fr]"&amp;E139</f>
        <v>[fr]Mitarbeiterorientierte Unternehmenskultur</v>
      </c>
      <c r="J139" s="593" t="s">
        <v>1260</v>
      </c>
      <c r="K139" s="576"/>
      <c r="L139" s="576"/>
    </row>
    <row r="140" customFormat="false" ht="28.5" hidden="false" customHeight="true" outlineLevel="0" collapsed="false">
      <c r="C140" s="594" t="s">
        <v>54</v>
      </c>
      <c r="D140" s="559" t="str">
        <f aca="false">HLOOKUP($C$1,$E$1:$X$4910,ROW(D140))</f>
        <v>Health promotion and occupational health and safety</v>
      </c>
      <c r="E140" s="594" t="s">
        <v>1261</v>
      </c>
      <c r="F140" s="556" t="s">
        <v>1262</v>
      </c>
      <c r="G140" s="563" t="s">
        <v>1263</v>
      </c>
      <c r="H140" s="556" t="s">
        <v>1264</v>
      </c>
      <c r="I140" s="556" t="str">
        <f aca="false">"[fr]"&amp;E140</f>
        <v>[fr]Gesundheitsförderung und Arbeitsschutz</v>
      </c>
      <c r="J140" s="593" t="s">
        <v>1265</v>
      </c>
      <c r="K140" s="576"/>
      <c r="L140" s="576"/>
    </row>
    <row r="141" customFormat="false" ht="15.75" hidden="false" customHeight="true" outlineLevel="0" collapsed="false">
      <c r="C141" s="594" t="s">
        <v>55</v>
      </c>
      <c r="D141" s="559" t="str">
        <f aca="false">HLOOKUP($C$1,$E$1:$X$4910,ROW(D141))</f>
        <v>Diversity and equal opportunities</v>
      </c>
      <c r="E141" s="594" t="s">
        <v>1266</v>
      </c>
      <c r="F141" s="556" t="s">
        <v>1267</v>
      </c>
      <c r="G141" s="563" t="s">
        <v>1268</v>
      </c>
      <c r="H141" s="556" t="s">
        <v>1269</v>
      </c>
      <c r="I141" s="556" t="str">
        <f aca="false">"[fr]"&amp;E141</f>
        <v>[fr]Diversität und Chancengleichheit</v>
      </c>
      <c r="J141" s="593" t="s">
        <v>1270</v>
      </c>
      <c r="K141" s="576"/>
      <c r="L141" s="576"/>
    </row>
    <row r="142" customFormat="false" ht="28.5" hidden="false" customHeight="true" outlineLevel="0" collapsed="false">
      <c r="C142" s="596" t="s">
        <v>56</v>
      </c>
      <c r="D142" s="559" t="str">
        <f aca="false">HLOOKUP($C$1,$E$1:$X$4910,ROW(D142))</f>
        <v>Negative aspect: unfit working conditions</v>
      </c>
      <c r="E142" s="596" t="s">
        <v>1271</v>
      </c>
      <c r="F142" s="556" t="s">
        <v>1272</v>
      </c>
      <c r="G142" s="563" t="s">
        <v>1273</v>
      </c>
      <c r="H142" s="556" t="s">
        <v>1274</v>
      </c>
      <c r="I142" s="556" t="str">
        <f aca="false">"[fr]"&amp;E142</f>
        <v>[fr]Negativ-Aspekt: Menschenunwürdige Arbeitsbedingungen</v>
      </c>
      <c r="J142" s="593" t="s">
        <v>1275</v>
      </c>
      <c r="K142" s="576"/>
      <c r="L142" s="576"/>
    </row>
    <row r="143" customFormat="false" ht="28.5" hidden="false" customHeight="true" outlineLevel="0" collapsed="false">
      <c r="B143" s="555" t="str">
        <f aca="false">C143&amp;": "&amp;D143</f>
        <v>C2: Self-determined working arrangements</v>
      </c>
      <c r="C143" s="583" t="s">
        <v>57</v>
      </c>
      <c r="D143" s="559" t="str">
        <f aca="false">HLOOKUP($C$1,$E$1:$X$4910,ROW(D143))</f>
        <v>Self-determined working arrangements</v>
      </c>
      <c r="E143" s="584" t="s">
        <v>1276</v>
      </c>
      <c r="F143" s="585" t="s">
        <v>1277</v>
      </c>
      <c r="G143" s="563" t="s">
        <v>1278</v>
      </c>
      <c r="H143" s="556" t="s">
        <v>1279</v>
      </c>
      <c r="I143" s="556" t="str">
        <f aca="false">"[fr]"&amp;E143</f>
        <v>[fr]Ausgestaltung der Arbeitsverträge</v>
      </c>
      <c r="J143" s="591" t="s">
        <v>1280</v>
      </c>
      <c r="K143" s="576"/>
      <c r="L143" s="576"/>
    </row>
    <row r="144" customFormat="false" ht="15.75" hidden="false" customHeight="true" outlineLevel="0" collapsed="false">
      <c r="C144" s="592" t="s">
        <v>58</v>
      </c>
      <c r="D144" s="559" t="str">
        <f aca="false">HLOOKUP($C$1,$E$1:$X$4910,ROW(D144))</f>
        <v>Pay structure</v>
      </c>
      <c r="E144" s="587" t="s">
        <v>1281</v>
      </c>
      <c r="F144" s="556" t="s">
        <v>1282</v>
      </c>
      <c r="G144" s="563" t="s">
        <v>1283</v>
      </c>
      <c r="H144" s="556" t="s">
        <v>1284</v>
      </c>
      <c r="I144" s="556" t="str">
        <f aca="false">"[fr]"&amp;E144</f>
        <v>[fr]Ausgestaltung des Verdienstes</v>
      </c>
      <c r="J144" s="593" t="s">
        <v>1285</v>
      </c>
      <c r="K144" s="576"/>
      <c r="L144" s="576"/>
    </row>
    <row r="145" customFormat="false" ht="15.75" hidden="false" customHeight="true" outlineLevel="0" collapsed="false">
      <c r="C145" s="56" t="s">
        <v>59</v>
      </c>
      <c r="D145" s="559" t="str">
        <f aca="false">HLOOKUP($C$1,$E$1:$X$4910,ROW(D145))</f>
        <v>Structuring working time</v>
      </c>
      <c r="E145" s="594" t="s">
        <v>1286</v>
      </c>
      <c r="F145" s="556" t="s">
        <v>1287</v>
      </c>
      <c r="G145" s="563" t="s">
        <v>1288</v>
      </c>
      <c r="H145" s="556" t="s">
        <v>1289</v>
      </c>
      <c r="I145" s="556" t="str">
        <f aca="false">"[fr]"&amp;E145</f>
        <v>[fr]Ausgestaltung der Arbeitszeit</v>
      </c>
      <c r="J145" s="593" t="s">
        <v>1290</v>
      </c>
      <c r="K145" s="576"/>
      <c r="L145" s="576"/>
    </row>
    <row r="146" customFormat="false" ht="28.5" hidden="false" customHeight="true" outlineLevel="0" collapsed="false">
      <c r="C146" s="597" t="s">
        <v>60</v>
      </c>
      <c r="D146" s="559" t="str">
        <f aca="false">HLOOKUP($C$1,$E$1:$X$4910,ROW(D146))</f>
        <v>Employment structure and work-life balance</v>
      </c>
      <c r="E146" s="596" t="s">
        <v>1291</v>
      </c>
      <c r="F146" s="556" t="s">
        <v>1292</v>
      </c>
      <c r="G146" s="563" t="s">
        <v>1293</v>
      </c>
      <c r="H146" s="556" t="s">
        <v>1294</v>
      </c>
      <c r="I146" s="556" t="str">
        <f aca="false">"[fr]"&amp;E146</f>
        <v>[fr]Ausgestaltung des Arbeitsverhältnisses und Work-Life-Balance</v>
      </c>
      <c r="J146" s="593" t="s">
        <v>1295</v>
      </c>
      <c r="K146" s="576"/>
      <c r="L146" s="576"/>
    </row>
    <row r="147" customFormat="false" ht="28.5" hidden="false" customHeight="true" outlineLevel="0" collapsed="false">
      <c r="C147" s="597" t="s">
        <v>61</v>
      </c>
      <c r="D147" s="559" t="str">
        <f aca="false">HLOOKUP($C$1,$E$1:$X$4910,ROW(D147))</f>
        <v>Negative aspect: unfair employment contracts</v>
      </c>
      <c r="E147" s="596" t="s">
        <v>1296</v>
      </c>
      <c r="F147" s="556" t="s">
        <v>1297</v>
      </c>
      <c r="G147" s="563" t="s">
        <v>1298</v>
      </c>
      <c r="H147" s="556" t="s">
        <v>1299</v>
      </c>
      <c r="I147" s="556" t="str">
        <f aca="false">"[fr]"&amp;E147</f>
        <v>[fr]Negativ-Aspekt: Ungerechte Ausgestaltung der Arbeitsverträge</v>
      </c>
      <c r="J147" s="593" t="s">
        <v>1300</v>
      </c>
      <c r="K147" s="576"/>
      <c r="L147" s="576"/>
    </row>
    <row r="148" customFormat="false" ht="41.85" hidden="false" customHeight="true" outlineLevel="0" collapsed="false">
      <c r="B148" s="555" t="str">
        <f aca="false">C148&amp;": "&amp;D148</f>
        <v>C3: Environmentally-friendly behaviour of staff</v>
      </c>
      <c r="C148" s="583" t="s">
        <v>62</v>
      </c>
      <c r="D148" s="559" t="str">
        <f aca="false">HLOOKUP($C$1,$E$1:$X$4910,ROW(D148))</f>
        <v>Environmentally-friendly behaviour of staff</v>
      </c>
      <c r="E148" s="584" t="s">
        <v>1301</v>
      </c>
      <c r="F148" s="585" t="s">
        <v>1302</v>
      </c>
      <c r="G148" s="563" t="s">
        <v>1303</v>
      </c>
      <c r="H148" s="556" t="s">
        <v>1304</v>
      </c>
      <c r="I148" s="556" t="str">
        <f aca="false">"[fr]"&amp;E148</f>
        <v>[fr]Förderung des ökologischen Verhaltens der Mitarbeitenden</v>
      </c>
      <c r="J148" s="591" t="s">
        <v>1305</v>
      </c>
      <c r="K148" s="576"/>
      <c r="L148" s="576"/>
    </row>
    <row r="149" customFormat="false" ht="15.75" hidden="false" customHeight="true" outlineLevel="0" collapsed="false">
      <c r="C149" s="592" t="s">
        <v>63</v>
      </c>
      <c r="D149" s="559" t="str">
        <f aca="false">HLOOKUP($C$1,$E$1:$X$4910,ROW(D149))</f>
        <v>Food during working hours</v>
      </c>
      <c r="E149" s="587" t="s">
        <v>1306</v>
      </c>
      <c r="F149" s="556" t="s">
        <v>1307</v>
      </c>
      <c r="G149" s="563" t="s">
        <v>1308</v>
      </c>
      <c r="H149" s="556" t="s">
        <v>1309</v>
      </c>
      <c r="I149" s="556" t="str">
        <f aca="false">"[fr]"&amp;E149</f>
        <v>[fr]Ernährung während der Arbeitszeit</v>
      </c>
      <c r="J149" s="593" t="s">
        <v>1310</v>
      </c>
      <c r="K149" s="576"/>
      <c r="L149" s="576"/>
    </row>
    <row r="150" customFormat="false" ht="15.75" hidden="false" customHeight="true" outlineLevel="0" collapsed="false">
      <c r="C150" s="56" t="s">
        <v>64</v>
      </c>
      <c r="D150" s="559" t="str">
        <f aca="false">HLOOKUP($C$1,$E$1:$X$4910,ROW(D150))</f>
        <v>Travel to work</v>
      </c>
      <c r="E150" s="594" t="s">
        <v>1311</v>
      </c>
      <c r="F150" s="556" t="s">
        <v>1312</v>
      </c>
      <c r="G150" s="563" t="s">
        <v>1313</v>
      </c>
      <c r="H150" s="556" t="s">
        <v>1314</v>
      </c>
      <c r="I150" s="556" t="str">
        <f aca="false">"[fr]"&amp;E150</f>
        <v>[fr]Mobilität zum Arbeitsplatz</v>
      </c>
      <c r="J150" s="593" t="s">
        <v>1315</v>
      </c>
      <c r="K150" s="576"/>
      <c r="L150" s="576"/>
    </row>
    <row r="151" customFormat="false" ht="28.5" hidden="false" customHeight="true" outlineLevel="0" collapsed="false">
      <c r="C151" s="597" t="s">
        <v>65</v>
      </c>
      <c r="D151" s="559" t="str">
        <f aca="false">HLOOKUP($C$1,$E$1:$X$4910,ROW(D151))</f>
        <v>Organisational culture, cultivating awareness for an environmentally-friendly approach</v>
      </c>
      <c r="E151" s="596" t="s">
        <v>1316</v>
      </c>
      <c r="F151" s="556" t="s">
        <v>1317</v>
      </c>
      <c r="G151" s="563" t="s">
        <v>1318</v>
      </c>
      <c r="H151" s="556" t="s">
        <v>1319</v>
      </c>
      <c r="I151" s="556" t="str">
        <f aca="false">"[fr]"&amp;E151</f>
        <v>[fr]Organisationskultur, Sensibilisierung und unternehmensinterne Prozesse</v>
      </c>
      <c r="J151" s="593" t="s">
        <v>1320</v>
      </c>
      <c r="K151" s="576"/>
      <c r="L151" s="576"/>
    </row>
    <row r="152" customFormat="false" ht="41.85" hidden="false" customHeight="true" outlineLevel="0" collapsed="false">
      <c r="C152" s="597" t="s">
        <v>66</v>
      </c>
      <c r="D152" s="559" t="str">
        <f aca="false">HLOOKUP($C$1,$E$1:$X$4910,ROW(D152))</f>
        <v>Negative aspect: guidance on waste/ environmentally damaging practices</v>
      </c>
      <c r="E152" s="596" t="s">
        <v>1321</v>
      </c>
      <c r="F152" s="556" t="s">
        <v>1322</v>
      </c>
      <c r="G152" s="563" t="s">
        <v>1323</v>
      </c>
      <c r="H152" s="556" t="s">
        <v>1324</v>
      </c>
      <c r="I152" s="556" t="str">
        <f aca="false">"[fr]"&amp;E152</f>
        <v>[fr]Negativ-Aspekt: Anleitung zur Verschwendung / Duldung unökologischen Verhaltens</v>
      </c>
      <c r="J152" s="593" t="s">
        <v>1325</v>
      </c>
      <c r="K152" s="576"/>
      <c r="L152" s="576"/>
    </row>
    <row r="153" customFormat="false" ht="41.85" hidden="false" customHeight="true" outlineLevel="0" collapsed="false">
      <c r="B153" s="555" t="str">
        <f aca="false">C153&amp;": "&amp;D153</f>
        <v>C4: Co-determination and transparency within the organisation</v>
      </c>
      <c r="C153" s="583" t="s">
        <v>67</v>
      </c>
      <c r="D153" s="559" t="str">
        <f aca="false">HLOOKUP($C$1,$E$1:$X$4910,ROW(D153))</f>
        <v>Co-determination and transparency within the organisation</v>
      </c>
      <c r="E153" s="584" t="str">
        <f aca="false">"Innerbetriebliche Mitentscheidung und Transparenz"</f>
        <v>Innerbetriebliche Mitentscheidung und Transparenz</v>
      </c>
      <c r="F153" s="585" t="s">
        <v>1326</v>
      </c>
      <c r="G153" s="563" t="s">
        <v>1327</v>
      </c>
      <c r="H153" s="556" t="s">
        <v>1328</v>
      </c>
      <c r="I153" s="556" t="str">
        <f aca="false">"[fr]"&amp;E153</f>
        <v>[fr]Innerbetriebliche Mitentscheidung und Transparenz</v>
      </c>
      <c r="J153" s="591" t="s">
        <v>1329</v>
      </c>
      <c r="K153" s="576"/>
      <c r="L153" s="576"/>
    </row>
    <row r="154" customFormat="false" ht="15.75" hidden="false" customHeight="true" outlineLevel="0" collapsed="false">
      <c r="C154" s="592" t="s">
        <v>68</v>
      </c>
      <c r="D154" s="559" t="str">
        <f aca="false">HLOOKUP($C$1,$E$1:$X$4910,ROW(D154))</f>
        <v>Transparency within the organisation</v>
      </c>
      <c r="E154" s="587" t="s">
        <v>1330</v>
      </c>
      <c r="F154" s="556" t="s">
        <v>1331</v>
      </c>
      <c r="G154" s="563" t="s">
        <v>1332</v>
      </c>
      <c r="H154" s="556" t="s">
        <v>1333</v>
      </c>
      <c r="I154" s="556" t="str">
        <f aca="false">"[fr]"&amp;E154</f>
        <v>[fr]Innerbetriebliche Transparenz</v>
      </c>
      <c r="J154" s="593" t="s">
        <v>1334</v>
      </c>
      <c r="K154" s="576"/>
      <c r="L154" s="576"/>
    </row>
    <row r="155" customFormat="false" ht="15.75" hidden="false" customHeight="true" outlineLevel="0" collapsed="false">
      <c r="C155" s="56" t="s">
        <v>69</v>
      </c>
      <c r="D155" s="559" t="str">
        <f aca="false">HLOOKUP($C$1,$E$1:$X$4910,ROW(D155))</f>
        <v>Legitimation of the management</v>
      </c>
      <c r="E155" s="594" t="s">
        <v>1335</v>
      </c>
      <c r="F155" s="556" t="s">
        <v>1336</v>
      </c>
      <c r="G155" s="563" t="s">
        <v>1337</v>
      </c>
      <c r="H155" s="556" t="s">
        <v>1338</v>
      </c>
      <c r="I155" s="556" t="str">
        <f aca="false">"[fr]"&amp;E155</f>
        <v>[fr]Legitimierung der Führungskräfte</v>
      </c>
      <c r="J155" s="593" t="s">
        <v>1339</v>
      </c>
      <c r="K155" s="576"/>
      <c r="L155" s="576"/>
    </row>
    <row r="156" customFormat="false" ht="28.5" hidden="false" customHeight="true" outlineLevel="0" collapsed="false">
      <c r="C156" s="56" t="s">
        <v>70</v>
      </c>
      <c r="D156" s="559" t="str">
        <f aca="false">HLOOKUP($C$1,$E$1:$X$4910,ROW(D156))</f>
        <v>Employee co-determination</v>
      </c>
      <c r="E156" s="594" t="s">
        <v>1340</v>
      </c>
      <c r="F156" s="556" t="s">
        <v>1341</v>
      </c>
      <c r="G156" s="563" t="s">
        <v>1342</v>
      </c>
      <c r="H156" s="556" t="s">
        <v>1343</v>
      </c>
      <c r="I156" s="556" t="str">
        <f aca="false">"[fr]"&amp;E156</f>
        <v>[fr]Mitentscheidung der Mitarbeitenden</v>
      </c>
      <c r="J156" s="593" t="s">
        <v>1344</v>
      </c>
      <c r="K156" s="576"/>
      <c r="L156" s="576"/>
    </row>
    <row r="157" customFormat="false" ht="28.5" hidden="false" customHeight="true" outlineLevel="0" collapsed="false">
      <c r="C157" s="70" t="s">
        <v>71</v>
      </c>
      <c r="D157" s="559" t="str">
        <f aca="false">HLOOKUP($C$1,$E$1:$X$4910,ROW(D157))</f>
        <v>Negative aspect: obstruction of works councils</v>
      </c>
      <c r="E157" s="598" t="s">
        <v>1345</v>
      </c>
      <c r="F157" s="556" t="s">
        <v>1346</v>
      </c>
      <c r="G157" s="563" t="s">
        <v>1347</v>
      </c>
      <c r="H157" s="556" t="s">
        <v>1348</v>
      </c>
      <c r="I157" s="556" t="str">
        <f aca="false">"[fr]"&amp;E157</f>
        <v>[fr]Negativ-Aspekt C4.4: Verhinderung des Betriebsrates</v>
      </c>
      <c r="J157" s="593" t="s">
        <v>1349</v>
      </c>
      <c r="K157" s="576"/>
      <c r="L157" s="576"/>
    </row>
    <row r="158" customFormat="false" ht="15.75" hidden="false" customHeight="true" outlineLevel="0" collapsed="false">
      <c r="B158" s="578" t="str">
        <f aca="false">C158&amp;": "&amp;D158</f>
        <v>D: Customers and other companies</v>
      </c>
      <c r="C158" s="579" t="s">
        <v>72</v>
      </c>
      <c r="D158" s="559" t="str">
        <f aca="false">HLOOKUP($C$1,$E$1:$X$4910,ROW(D158))</f>
        <v>Customers and other companies</v>
      </c>
      <c r="E158" s="590" t="s">
        <v>1350</v>
      </c>
      <c r="F158" s="581" t="s">
        <v>1351</v>
      </c>
      <c r="G158" s="563" t="s">
        <v>1352</v>
      </c>
      <c r="H158" s="556" t="s">
        <v>1353</v>
      </c>
      <c r="I158" s="556" t="str">
        <f aca="false">"[fr]"&amp;E158</f>
        <v>[fr]Kund*nnen und Mitunternehmen</v>
      </c>
      <c r="J158" s="595" t="s">
        <v>1354</v>
      </c>
      <c r="K158" s="556" t="str">
        <f aca="false">"[gr]"&amp;E158</f>
        <v>[gr]Kund*nnen und Mitunternehmen</v>
      </c>
    </row>
    <row r="159" customFormat="false" ht="28.5" hidden="false" customHeight="true" outlineLevel="0" collapsed="false">
      <c r="B159" s="555" t="str">
        <f aca="false">C159&amp;": "&amp;D159</f>
        <v>D1: Ethical customer relations</v>
      </c>
      <c r="C159" s="583" t="s">
        <v>73</v>
      </c>
      <c r="D159" s="559" t="str">
        <f aca="false">HLOOKUP($C$1,$E$1:$X$4910,ROW(D159))</f>
        <v>Ethical customer relations</v>
      </c>
      <c r="E159" s="584" t="s">
        <v>1355</v>
      </c>
      <c r="F159" s="585" t="s">
        <v>1356</v>
      </c>
      <c r="G159" s="563" t="s">
        <v>1357</v>
      </c>
      <c r="H159" s="556" t="s">
        <v>1358</v>
      </c>
      <c r="I159" s="556" t="s">
        <v>1359</v>
      </c>
      <c r="J159" s="591" t="s">
        <v>1360</v>
      </c>
      <c r="K159" s="576"/>
      <c r="L159" s="576"/>
    </row>
    <row r="160" customFormat="false" ht="28.5" hidden="false" customHeight="true" outlineLevel="0" collapsed="false">
      <c r="C160" s="587" t="s">
        <v>74</v>
      </c>
      <c r="D160" s="559" t="str">
        <f aca="false">HLOOKUP($C$1,$E$1:$X$4910,ROW(D160))</f>
        <v>Respect for human dignity in communication with customers</v>
      </c>
      <c r="E160" s="587" t="s">
        <v>1361</v>
      </c>
      <c r="F160" s="556" t="s">
        <v>1362</v>
      </c>
      <c r="G160" s="563" t="s">
        <v>1363</v>
      </c>
      <c r="H160" s="556" t="s">
        <v>1364</v>
      </c>
      <c r="I160" s="556" t="str">
        <f aca="false">"[fr]"&amp;E160</f>
        <v>[fr]Menschenwürdige Kommunikation mit Kund*innen</v>
      </c>
      <c r="J160" s="593" t="s">
        <v>1365</v>
      </c>
      <c r="K160" s="576"/>
      <c r="L160" s="576"/>
    </row>
    <row r="161" customFormat="false" ht="15.75" hidden="false" customHeight="true" outlineLevel="0" collapsed="false">
      <c r="C161" s="56" t="s">
        <v>75</v>
      </c>
      <c r="D161" s="559" t="str">
        <f aca="false">HLOOKUP($C$1,$E$1:$X$4910,ROW(D161))</f>
        <v>Barrier-free access</v>
      </c>
      <c r="E161" s="587" t="s">
        <v>1366</v>
      </c>
      <c r="F161" s="556" t="s">
        <v>1367</v>
      </c>
      <c r="G161" s="563" t="s">
        <v>1368</v>
      </c>
      <c r="H161" s="556" t="s">
        <v>1369</v>
      </c>
      <c r="I161" s="556" t="str">
        <f aca="false">"[fr]"&amp;E161</f>
        <v>[fr]Barrierefreiheit</v>
      </c>
      <c r="J161" s="593" t="s">
        <v>1370</v>
      </c>
      <c r="K161" s="576"/>
      <c r="L161" s="576"/>
    </row>
    <row r="162" customFormat="false" ht="28.5" hidden="false" customHeight="true" outlineLevel="0" collapsed="false">
      <c r="C162" s="594" t="s">
        <v>76</v>
      </c>
      <c r="D162" s="559" t="str">
        <f aca="false">HLOOKUP($C$1,$E$1:$X$4910,ROW(D162))</f>
        <v>Negative aspect: unethical advertising</v>
      </c>
      <c r="E162" s="587" t="s">
        <v>1371</v>
      </c>
      <c r="F162" s="556" t="s">
        <v>1372</v>
      </c>
      <c r="G162" s="563" t="s">
        <v>1373</v>
      </c>
      <c r="H162" s="556" t="s">
        <v>1374</v>
      </c>
      <c r="I162" s="556" t="str">
        <f aca="false">"[fr]"&amp;E162</f>
        <v>[fr]Negativ-Aspekt: Unethische Werbemaßnahmen</v>
      </c>
      <c r="J162" s="593" t="s">
        <v>1375</v>
      </c>
      <c r="K162" s="576"/>
      <c r="L162" s="576"/>
    </row>
    <row r="163" customFormat="false" ht="28.5" hidden="false" customHeight="true" outlineLevel="0" collapsed="false">
      <c r="B163" s="555" t="str">
        <f aca="false">C163&amp;": "&amp;D163</f>
        <v>D2: Cooperation and solidarity with other companies</v>
      </c>
      <c r="C163" s="583" t="s">
        <v>77</v>
      </c>
      <c r="D163" s="559" t="str">
        <f aca="false">HLOOKUP($C$1,$E$1:$X$4910,ROW(D163))</f>
        <v>Cooperation and solidarity with other companies</v>
      </c>
      <c r="E163" s="584" t="s">
        <v>1376</v>
      </c>
      <c r="F163" s="585" t="s">
        <v>1377</v>
      </c>
      <c r="G163" s="563" t="s">
        <v>1378</v>
      </c>
      <c r="H163" s="556" t="s">
        <v>1379</v>
      </c>
      <c r="I163" s="556" t="str">
        <f aca="false">"[fr]"&amp;E163</f>
        <v>[fr]Kooperation und Solidarität mit Mitunternehmen</v>
      </c>
      <c r="J163" s="591" t="s">
        <v>1380</v>
      </c>
      <c r="K163" s="576"/>
      <c r="L163" s="576"/>
    </row>
    <row r="164" customFormat="false" ht="15.75" hidden="false" customHeight="true" outlineLevel="0" collapsed="false">
      <c r="C164" s="587" t="s">
        <v>78</v>
      </c>
      <c r="D164" s="559" t="str">
        <f aca="false">HLOOKUP($C$1,$E$1:$X$4910,ROW(D164))</f>
        <v>Cooperation with other companies</v>
      </c>
      <c r="E164" s="587" t="s">
        <v>1381</v>
      </c>
      <c r="F164" s="556" t="s">
        <v>1382</v>
      </c>
      <c r="G164" s="563" t="s">
        <v>1383</v>
      </c>
      <c r="H164" s="556" t="s">
        <v>1384</v>
      </c>
      <c r="I164" s="556" t="str">
        <f aca="false">"[fr]"&amp;E164</f>
        <v>[fr]Kooperation mit Mitunternehmen</v>
      </c>
      <c r="J164" s="593" t="s">
        <v>1385</v>
      </c>
      <c r="K164" s="576"/>
      <c r="L164" s="576"/>
    </row>
    <row r="165" customFormat="false" ht="15.75" hidden="false" customHeight="true" outlineLevel="0" collapsed="false">
      <c r="C165" s="594" t="s">
        <v>79</v>
      </c>
      <c r="D165" s="559" t="str">
        <f aca="false">HLOOKUP($C$1,$E$1:$X$4910,ROW(D165))</f>
        <v>Solidarity with other companies</v>
      </c>
      <c r="E165" s="587" t="s">
        <v>1386</v>
      </c>
      <c r="F165" s="556" t="s">
        <v>1387</v>
      </c>
      <c r="G165" s="563" t="s">
        <v>1388</v>
      </c>
      <c r="H165" s="556" t="s">
        <v>1389</v>
      </c>
      <c r="I165" s="556" t="str">
        <f aca="false">"[fr]"&amp;E165</f>
        <v>[fr]Solidarität mit Mitunternehmen</v>
      </c>
      <c r="J165" s="593" t="s">
        <v>1390</v>
      </c>
      <c r="K165" s="576"/>
      <c r="L165" s="576"/>
    </row>
    <row r="166" customFormat="false" ht="28.5" hidden="false" customHeight="true" outlineLevel="0" collapsed="false">
      <c r="C166" s="596" t="s">
        <v>80</v>
      </c>
      <c r="D166" s="559" t="str">
        <f aca="false">HLOOKUP($C$1,$E$1:$X$4910,ROW(D166))</f>
        <v>Negative aspect: abuse of market power to the detriment of other companies</v>
      </c>
      <c r="E166" s="599" t="s">
        <v>1391</v>
      </c>
      <c r="F166" s="556" t="s">
        <v>1392</v>
      </c>
      <c r="G166" s="563" t="s">
        <v>1393</v>
      </c>
      <c r="H166" s="556" t="s">
        <v>1394</v>
      </c>
      <c r="I166" s="556" t="str">
        <f aca="false">"[fr]"&amp;E166</f>
        <v>[fr]Negativ-Aspekt D2.3: Missbrauch der Marktmacht gegenüber Mitunternehmen</v>
      </c>
      <c r="J166" s="593" t="s">
        <v>1395</v>
      </c>
      <c r="K166" s="576"/>
      <c r="L166" s="576"/>
    </row>
    <row r="167" customFormat="false" ht="41.85" hidden="false" customHeight="true" outlineLevel="0" collapsed="false">
      <c r="B167" s="555" t="str">
        <f aca="false">C167&amp;": "&amp;D167</f>
        <v>D3: Impact on the environment of the use and disposal of products and services</v>
      </c>
      <c r="C167" s="583" t="s">
        <v>81</v>
      </c>
      <c r="D167" s="559" t="str">
        <f aca="false">HLOOKUP($C$1,$E$1:$X$4910,ROW(D167))</f>
        <v>Impact on the environment of the use and disposal of products and services</v>
      </c>
      <c r="E167" s="584" t="s">
        <v>1396</v>
      </c>
      <c r="F167" s="585" t="s">
        <v>1397</v>
      </c>
      <c r="G167" s="563" t="s">
        <v>1398</v>
      </c>
      <c r="H167" s="556" t="s">
        <v>1399</v>
      </c>
      <c r="I167" s="556" t="str">
        <f aca="false">"[fr]"&amp;E167</f>
        <v>[fr]Ökologische Auswirkung durch Nutzung und Entsorgung von Produkten und Dienstleistungen</v>
      </c>
      <c r="J167" s="591" t="s">
        <v>1400</v>
      </c>
      <c r="K167" s="576"/>
      <c r="L167" s="576"/>
    </row>
    <row r="168" customFormat="false" ht="41.85" hidden="false" customHeight="true" outlineLevel="0" collapsed="false">
      <c r="C168" s="587" t="s">
        <v>82</v>
      </c>
      <c r="D168" s="559" t="str">
        <f aca="false">HLOOKUP($C$1,$E$1:$X$4910,ROW(D168))</f>
        <v>Environmental cost-benefit ration of products and services (efficiency and consistency) </v>
      </c>
      <c r="E168" s="587" t="s">
        <v>1401</v>
      </c>
      <c r="F168" s="556" t="s">
        <v>1402</v>
      </c>
      <c r="G168" s="563" t="s">
        <v>1403</v>
      </c>
      <c r="H168" s="556" t="s">
        <v>1404</v>
      </c>
      <c r="I168" s="556" t="str">
        <f aca="false">"[fr]"&amp;E168</f>
        <v>[fr]Ökologisches Kosten-Nutzen-Verhältnis von Produkten und Dienstleistungen (Effizienz und Konsistenz)</v>
      </c>
      <c r="J168" s="593" t="s">
        <v>1405</v>
      </c>
      <c r="K168" s="576"/>
      <c r="L168" s="576"/>
    </row>
    <row r="169" customFormat="false" ht="28.5" hidden="false" customHeight="true" outlineLevel="0" collapsed="false">
      <c r="C169" s="594" t="s">
        <v>83</v>
      </c>
      <c r="D169" s="559" t="str">
        <f aca="false">HLOOKUP($C$1,$E$1:$X$4910,ROW(D169))</f>
        <v>Moderate use of products and services (sufficiency)</v>
      </c>
      <c r="E169" s="587" t="s">
        <v>1406</v>
      </c>
      <c r="F169" s="556" t="s">
        <v>1407</v>
      </c>
      <c r="G169" s="563" t="s">
        <v>1408</v>
      </c>
      <c r="H169" s="556" t="s">
        <v>1409</v>
      </c>
      <c r="I169" s="556" t="str">
        <f aca="false">"[fr]"&amp;E169</f>
        <v>[fr]Maßvolle Nutzung von Produkten und Dienstleistungen (Suffizienz)</v>
      </c>
      <c r="J169" s="593" t="s">
        <v>1410</v>
      </c>
      <c r="K169" s="576"/>
      <c r="L169" s="576"/>
    </row>
    <row r="170" customFormat="false" ht="38.85" hidden="false" customHeight="true" outlineLevel="0" collapsed="false">
      <c r="C170" s="596" t="s">
        <v>84</v>
      </c>
      <c r="D170" s="559" t="str">
        <f aca="false">HLOOKUP($C$1,$E$1:$X$4910,ROW(D170))</f>
        <v>Negative aspect: wilful disregard of disproportionate environmental impacts</v>
      </c>
      <c r="E170" s="599" t="s">
        <v>1411</v>
      </c>
      <c r="F170" s="556" t="s">
        <v>1412</v>
      </c>
      <c r="G170" s="563" t="s">
        <v>1413</v>
      </c>
      <c r="H170" s="556" t="s">
        <v>1414</v>
      </c>
      <c r="I170" s="556" t="str">
        <f aca="false">"[fr]"&amp;E170</f>
        <v>[fr]Negativ-Aspekt: Bewusste Inkaufnahme unverhältnismäßiger, ökologischer Auswirkungen</v>
      </c>
      <c r="J170" s="593" t="s">
        <v>1415</v>
      </c>
      <c r="K170" s="576"/>
      <c r="L170" s="576"/>
    </row>
    <row r="171" customFormat="false" ht="28.5" hidden="false" customHeight="true" outlineLevel="0" collapsed="false">
      <c r="B171" s="555" t="str">
        <f aca="false">C171&amp;": "&amp;D171</f>
        <v>D4: Customer participation and product transparency</v>
      </c>
      <c r="C171" s="583" t="s">
        <v>85</v>
      </c>
      <c r="D171" s="559" t="str">
        <f aca="false">HLOOKUP($C$1,$E$1:$X$4910,ROW(D171))</f>
        <v>Customer participation and product transparency</v>
      </c>
      <c r="E171" s="584" t="s">
        <v>1416</v>
      </c>
      <c r="F171" s="585" t="s">
        <v>1417</v>
      </c>
      <c r="G171" s="563" t="s">
        <v>1418</v>
      </c>
      <c r="H171" s="556" t="s">
        <v>1419</v>
      </c>
      <c r="I171" s="556" t="str">
        <f aca="false">"[fr]"&amp;E171</f>
        <v>[fr]Kund*innen-Mitwirkung und Produkttransparenz</v>
      </c>
      <c r="J171" s="591" t="s">
        <v>1420</v>
      </c>
      <c r="K171" s="576"/>
      <c r="L171" s="576"/>
    </row>
    <row r="172" customFormat="false" ht="28.5" hidden="false" customHeight="true" outlineLevel="0" collapsed="false">
      <c r="C172" s="587" t="s">
        <v>86</v>
      </c>
      <c r="D172" s="559" t="str">
        <f aca="false">HLOOKUP($C$1,$E$1:$X$4910,ROW(D172))</f>
        <v>Customer participation, joint product development and market research</v>
      </c>
      <c r="E172" s="587" t="s">
        <v>1421</v>
      </c>
      <c r="F172" s="556" t="s">
        <v>1422</v>
      </c>
      <c r="G172" s="563" t="s">
        <v>1423</v>
      </c>
      <c r="H172" s="556" t="s">
        <v>1424</v>
      </c>
      <c r="I172" s="556" t="str">
        <f aca="false">"[fr]"&amp;E172</f>
        <v>[fr]Kund*innen-Mitwirkung, gemeinsame Produktentwicklung und Marktforschung</v>
      </c>
      <c r="J172" s="593" t="s">
        <v>1425</v>
      </c>
      <c r="K172" s="576"/>
      <c r="L172" s="576"/>
    </row>
    <row r="173" customFormat="false" ht="15.75" hidden="false" customHeight="true" outlineLevel="0" collapsed="false">
      <c r="C173" s="596" t="s">
        <v>87</v>
      </c>
      <c r="D173" s="559" t="str">
        <f aca="false">HLOOKUP($C$1,$E$1:$X$4910,ROW(D173))</f>
        <v>Product transparency</v>
      </c>
      <c r="E173" s="599" t="s">
        <v>1426</v>
      </c>
      <c r="F173" s="556" t="s">
        <v>1427</v>
      </c>
      <c r="G173" s="563" t="s">
        <v>1428</v>
      </c>
      <c r="H173" s="556" t="s">
        <v>1429</v>
      </c>
      <c r="I173" s="556" t="str">
        <f aca="false">"[fr]"&amp;E173</f>
        <v>[fr]Produkttransparenz</v>
      </c>
      <c r="J173" s="593" t="s">
        <v>1430</v>
      </c>
      <c r="K173" s="576"/>
      <c r="L173" s="576"/>
    </row>
    <row r="174" customFormat="false" ht="28.5" hidden="false" customHeight="true" outlineLevel="0" collapsed="false">
      <c r="C174" s="596" t="s">
        <v>87</v>
      </c>
      <c r="D174" s="559" t="str">
        <f aca="false">HLOOKUP($C$1,$E$1:$X$4910,ROW(D174))</f>
        <v>Negative aspect: non-disclosure of hazardous substances</v>
      </c>
      <c r="E174" s="596" t="s">
        <v>1431</v>
      </c>
      <c r="F174" s="556" t="s">
        <v>1432</v>
      </c>
      <c r="G174" s="563" t="s">
        <v>1433</v>
      </c>
      <c r="H174" s="556" t="s">
        <v>1434</v>
      </c>
      <c r="I174" s="556" t="str">
        <f aca="false">"[fr]"&amp;E174</f>
        <v>[fr]Negativ-Aspekt: Kein Ausweis von Gefahrenstoffen</v>
      </c>
      <c r="J174" s="593" t="s">
        <v>1435</v>
      </c>
      <c r="K174" s="576"/>
      <c r="L174" s="576"/>
    </row>
    <row r="175" customFormat="false" ht="15.75" hidden="false" customHeight="true" outlineLevel="0" collapsed="false">
      <c r="B175" s="578" t="str">
        <f aca="false">C175&amp;": "&amp;D175</f>
        <v>E: Social environment</v>
      </c>
      <c r="C175" s="579" t="s">
        <v>88</v>
      </c>
      <c r="D175" s="559" t="str">
        <f aca="false">HLOOKUP($C$1,$E$1:$X$4910,ROW(D175))</f>
        <v>Social environment</v>
      </c>
      <c r="E175" s="590" t="s">
        <v>1436</v>
      </c>
      <c r="F175" s="581" t="s">
        <v>1437</v>
      </c>
      <c r="G175" s="563" t="s">
        <v>1438</v>
      </c>
      <c r="H175" s="556" t="s">
        <v>1439</v>
      </c>
      <c r="I175" s="556" t="str">
        <f aca="false">"[fr]"&amp;E175</f>
        <v>[fr]Gesellschaftliches Umfeld</v>
      </c>
      <c r="J175" s="595" t="s">
        <v>1440</v>
      </c>
      <c r="K175" s="556" t="str">
        <f aca="false">"[gr]"&amp;E175</f>
        <v>[gr]Gesellschaftliches Umfeld</v>
      </c>
    </row>
    <row r="176" customFormat="false" ht="28.5" hidden="false" customHeight="true" outlineLevel="0" collapsed="false">
      <c r="B176" s="555" t="str">
        <f aca="false">C176&amp;": "&amp;D176</f>
        <v>E1: Purpose of products and services and their effects on society</v>
      </c>
      <c r="C176" s="583" t="s">
        <v>89</v>
      </c>
      <c r="D176" s="559" t="str">
        <f aca="false">HLOOKUP($C$1,$E$1:$X$4910,ROW(D176))</f>
        <v>Purpose of products and services and their effects on society</v>
      </c>
      <c r="E176" s="584" t="s">
        <v>1441</v>
      </c>
      <c r="F176" s="585" t="s">
        <v>1442</v>
      </c>
      <c r="G176" s="563" t="s">
        <v>1443</v>
      </c>
      <c r="H176" s="556" t="s">
        <v>1444</v>
      </c>
      <c r="I176" s="556" t="str">
        <f aca="false">"[fr]"&amp;E176</f>
        <v>[fr]Sinn und gesellschaftliche Wirkung der Produkte und Dienstleistungen</v>
      </c>
      <c r="J176" s="591" t="s">
        <v>1445</v>
      </c>
      <c r="K176" s="600"/>
    </row>
    <row r="177" customFormat="false" ht="28.5" hidden="false" customHeight="true" outlineLevel="0" collapsed="false">
      <c r="C177" s="587" t="s">
        <v>90</v>
      </c>
      <c r="D177" s="559" t="str">
        <f aca="false">HLOOKUP($C$1,$E$1:$X$4910,ROW(D177))</f>
        <v>Products and services should cover basic needs and contribute to a good life</v>
      </c>
      <c r="E177" s="587" t="s">
        <v>1446</v>
      </c>
      <c r="F177" s="556" t="s">
        <v>1447</v>
      </c>
      <c r="G177" s="563" t="s">
        <v>1448</v>
      </c>
      <c r="H177" s="556" t="s">
        <v>1449</v>
      </c>
      <c r="I177" s="556" t="str">
        <f aca="false">"[fr]"&amp;E177</f>
        <v>[fr]Produkte und Dienstleistungen decken den Grundbedarf und dienen dem guten Leben</v>
      </c>
      <c r="J177" s="593" t="s">
        <v>1450</v>
      </c>
      <c r="K177" s="576"/>
    </row>
    <row r="178" customFormat="false" ht="28.5" hidden="false" customHeight="true" outlineLevel="0" collapsed="false">
      <c r="C178" s="596" t="s">
        <v>91</v>
      </c>
      <c r="D178" s="559" t="str">
        <f aca="false">HLOOKUP($C$1,$E$1:$X$4910,ROW(D178))</f>
        <v>Social impact of products and services</v>
      </c>
      <c r="E178" s="596" t="s">
        <v>1451</v>
      </c>
      <c r="F178" s="556" t="s">
        <v>1452</v>
      </c>
      <c r="G178" s="563" t="s">
        <v>1453</v>
      </c>
      <c r="H178" s="556" t="s">
        <v>1454</v>
      </c>
      <c r="I178" s="556" t="str">
        <f aca="false">"[fr]"&amp;E178</f>
        <v>[fr]Gesellschaftliche Wirkung der Produkte und Dienstleistungen</v>
      </c>
      <c r="J178" s="593" t="s">
        <v>1455</v>
      </c>
      <c r="K178" s="576"/>
    </row>
    <row r="179" customFormat="false" ht="28.5" hidden="false" customHeight="true" outlineLevel="0" collapsed="false">
      <c r="C179" s="596" t="s">
        <v>92</v>
      </c>
      <c r="D179" s="559" t="str">
        <f aca="false">HLOOKUP($C$1,$E$1:$X$4910,ROW(D179))</f>
        <v>Negative aspect: unethical and unfit products and services</v>
      </c>
      <c r="E179" s="596" t="s">
        <v>1456</v>
      </c>
      <c r="F179" s="556" t="s">
        <v>1457</v>
      </c>
      <c r="G179" s="563" t="s">
        <v>1458</v>
      </c>
      <c r="H179" s="556" t="s">
        <v>1459</v>
      </c>
      <c r="I179" s="556" t="str">
        <f aca="false">"[fr]"&amp;E179</f>
        <v>[fr]Negativ-Aspekt: Menschenunwürdige Produkte und Dienstleistungen</v>
      </c>
      <c r="J179" s="601" t="s">
        <v>1460</v>
      </c>
      <c r="K179" s="576"/>
    </row>
    <row r="180" customFormat="false" ht="28.5" hidden="false" customHeight="true" outlineLevel="0" collapsed="false">
      <c r="B180" s="555" t="str">
        <f aca="false">C180&amp;": "&amp;D180</f>
        <v>E2: Contribution to the community</v>
      </c>
      <c r="C180" s="583" t="s">
        <v>93</v>
      </c>
      <c r="D180" s="559" t="str">
        <f aca="false">HLOOKUP($C$1,$E$1:$X$4910,ROW(D180))</f>
        <v>Contribution to the community</v>
      </c>
      <c r="E180" s="584" t="s">
        <v>1461</v>
      </c>
      <c r="F180" s="585" t="s">
        <v>1462</v>
      </c>
      <c r="G180" s="563" t="s">
        <v>1463</v>
      </c>
      <c r="H180" s="556" t="s">
        <v>1464</v>
      </c>
      <c r="I180" s="556" t="str">
        <f aca="false">"[fr]"&amp;E180</f>
        <v>[fr]Beitrag zum Gemeinwesen</v>
      </c>
      <c r="J180" s="591" t="s">
        <v>1465</v>
      </c>
      <c r="K180" s="576"/>
    </row>
    <row r="181" customFormat="false" ht="15.75" hidden="false" customHeight="true" outlineLevel="0" collapsed="false">
      <c r="C181" s="592" t="s">
        <v>94</v>
      </c>
      <c r="D181" s="559" t="str">
        <f aca="false">HLOOKUP($C$1,$E$1:$X$4910,ROW(D181))</f>
        <v>Taxes and social security contributions</v>
      </c>
      <c r="E181" s="587" t="s">
        <v>1466</v>
      </c>
      <c r="F181" s="556" t="s">
        <v>1467</v>
      </c>
      <c r="G181" s="563" t="s">
        <v>1468</v>
      </c>
      <c r="H181" s="556" t="s">
        <v>1469</v>
      </c>
      <c r="I181" s="556" t="str">
        <f aca="false">"[fr]"&amp;E181</f>
        <v>[fr]Steuern und Sozialabgaben</v>
      </c>
      <c r="J181" s="593" t="s">
        <v>1470</v>
      </c>
      <c r="K181" s="576"/>
    </row>
    <row r="182" customFormat="false" ht="28.5" hidden="false" customHeight="true" outlineLevel="0" collapsed="false">
      <c r="C182" s="56" t="s">
        <v>95</v>
      </c>
      <c r="D182" s="559" t="str">
        <f aca="false">HLOOKUP($C$1,$E$1:$X$4910,ROW(D182))</f>
        <v>Voluntary contributions that strengthen society</v>
      </c>
      <c r="E182" s="594" t="s">
        <v>1471</v>
      </c>
      <c r="F182" s="556" t="s">
        <v>1472</v>
      </c>
      <c r="G182" s="563" t="s">
        <v>1473</v>
      </c>
      <c r="H182" s="556" t="s">
        <v>1474</v>
      </c>
      <c r="I182" s="556" t="str">
        <f aca="false">"[fr]"&amp;E182</f>
        <v>[fr]Freiwillige Beiträge zur Stärkung des Gemeinwesens</v>
      </c>
      <c r="J182" s="593" t="s">
        <v>1475</v>
      </c>
      <c r="K182" s="576"/>
    </row>
    <row r="183" customFormat="false" ht="15.75" hidden="false" customHeight="true" outlineLevel="0" collapsed="false">
      <c r="C183" s="597" t="s">
        <v>96</v>
      </c>
      <c r="D183" s="602" t="str">
        <f aca="false">HLOOKUP($C$1,$E$1:$X$4910,ROW(D183))</f>
        <v>Negative aspect: inappropriate non-payment of tax</v>
      </c>
      <c r="E183" s="596" t="s">
        <v>1476</v>
      </c>
      <c r="F183" s="556" t="s">
        <v>1477</v>
      </c>
      <c r="G183" s="563" t="s">
        <v>1478</v>
      </c>
      <c r="H183" s="556" t="s">
        <v>1479</v>
      </c>
      <c r="I183" s="556" t="str">
        <f aca="false">"[fr]"&amp;E183</f>
        <v>[fr]Negativ-Aspekt: Illegitime Steuervermeidung</v>
      </c>
      <c r="J183" s="593" t="s">
        <v>1480</v>
      </c>
      <c r="K183" s="576"/>
    </row>
    <row r="184" customFormat="false" ht="28.5" hidden="false" customHeight="true" outlineLevel="0" collapsed="false">
      <c r="C184" s="597" t="s">
        <v>97</v>
      </c>
      <c r="D184" s="559" t="str">
        <f aca="false">HLOOKUP($C$1,$E$1:$X$4910,ROW(D184))</f>
        <v>Negative aspect: no anti-corruption policy</v>
      </c>
      <c r="E184" s="596" t="s">
        <v>1481</v>
      </c>
      <c r="F184" s="556" t="s">
        <v>1482</v>
      </c>
      <c r="G184" s="563" t="s">
        <v>1483</v>
      </c>
      <c r="H184" s="556" t="s">
        <v>1484</v>
      </c>
      <c r="I184" s="556" t="str">
        <f aca="false">"[fr]"&amp;E184</f>
        <v>[fr]Negativ-Aspekt: Mangelnde Korruptionsprävention</v>
      </c>
      <c r="J184" s="593" t="s">
        <v>1485</v>
      </c>
      <c r="K184" s="576"/>
    </row>
    <row r="185" customFormat="false" ht="28.5" hidden="false" customHeight="true" outlineLevel="0" collapsed="false">
      <c r="B185" s="555" t="str">
        <f aca="false">C185&amp;": "&amp;D185</f>
        <v>E3: Reduction of environmental impact</v>
      </c>
      <c r="C185" s="583" t="s">
        <v>98</v>
      </c>
      <c r="D185" s="559" t="str">
        <f aca="false">HLOOKUP($C$1,$E$1:$X$4910,ROW(D185))</f>
        <v>Reduction of environmental impact</v>
      </c>
      <c r="E185" s="584" t="s">
        <v>1486</v>
      </c>
      <c r="F185" s="585" t="s">
        <v>1487</v>
      </c>
      <c r="G185" s="563" t="s">
        <v>1488</v>
      </c>
      <c r="H185" s="556" t="s">
        <v>1489</v>
      </c>
      <c r="I185" s="556" t="str">
        <f aca="false">"[fr]"&amp;E185</f>
        <v>[fr]Reduktion ökologischer Auswirkungen</v>
      </c>
      <c r="J185" s="591" t="s">
        <v>1490</v>
      </c>
      <c r="K185" s="576"/>
    </row>
    <row r="186" customFormat="false" ht="28.5" hidden="false" customHeight="true" outlineLevel="0" collapsed="false">
      <c r="C186" s="592" t="s">
        <v>99</v>
      </c>
      <c r="D186" s="559" t="str">
        <f aca="false">HLOOKUP($C$1,$E$1:$X$4910,ROW(D186))</f>
        <v>Absolute impact and management strategy</v>
      </c>
      <c r="E186" s="587" t="s">
        <v>1491</v>
      </c>
      <c r="F186" s="556" t="s">
        <v>1492</v>
      </c>
      <c r="G186" s="563" t="s">
        <v>1493</v>
      </c>
      <c r="H186" s="556" t="s">
        <v>1494</v>
      </c>
      <c r="I186" s="556" t="str">
        <f aca="false">"[fr]"&amp;E186</f>
        <v>[fr]Absolute Auswirkungen / Management &amp; Strategie</v>
      </c>
      <c r="J186" s="593" t="s">
        <v>1495</v>
      </c>
      <c r="K186" s="576"/>
    </row>
    <row r="187" customFormat="false" ht="15.75" hidden="false" customHeight="true" outlineLevel="0" collapsed="false">
      <c r="C187" s="56" t="s">
        <v>100</v>
      </c>
      <c r="D187" s="602" t="str">
        <f aca="false">HLOOKUP($C$1,$E$1:$X$4910,ROW(D187))</f>
        <v>Relative impact</v>
      </c>
      <c r="E187" s="594" t="s">
        <v>1496</v>
      </c>
      <c r="F187" s="556" t="s">
        <v>1497</v>
      </c>
      <c r="G187" s="563" t="s">
        <v>1498</v>
      </c>
      <c r="H187" s="556" t="s">
        <v>1499</v>
      </c>
      <c r="I187" s="556" t="str">
        <f aca="false">"[fr]"&amp;E187</f>
        <v>[fr]Relative Auswirkungen</v>
      </c>
      <c r="J187" s="593" t="s">
        <v>1500</v>
      </c>
      <c r="K187" s="576"/>
    </row>
    <row r="188" customFormat="false" ht="41.85" hidden="false" customHeight="true" outlineLevel="0" collapsed="false">
      <c r="C188" s="597" t="s">
        <v>101</v>
      </c>
      <c r="D188" s="559" t="str">
        <f aca="false">HLOOKUP($C$1,$E$1:$X$4910,ROW(D188))</f>
        <v>Negative aspect: infringement of environmental regulations and disproportionate environmental pollution</v>
      </c>
      <c r="E188" s="596" t="s">
        <v>1501</v>
      </c>
      <c r="F188" s="556" t="s">
        <v>1502</v>
      </c>
      <c r="G188" s="563" t="s">
        <v>1503</v>
      </c>
      <c r="H188" s="556" t="s">
        <v>1504</v>
      </c>
      <c r="I188" s="556" t="str">
        <f aca="false">"[fr]"&amp;E188</f>
        <v>[fr]Negativ-Aspekt: Verstöße gegen Umweltauflagen sowie unangemessene Umweltbelastungen</v>
      </c>
      <c r="J188" s="593" t="s">
        <v>1505</v>
      </c>
      <c r="K188" s="576"/>
    </row>
    <row r="189" customFormat="false" ht="28.5" hidden="false" customHeight="true" outlineLevel="0" collapsed="false">
      <c r="B189" s="555" t="str">
        <f aca="false">C189&amp;": "&amp;D189</f>
        <v>E4: Social co-determination and transparency</v>
      </c>
      <c r="C189" s="583" t="s">
        <v>102</v>
      </c>
      <c r="D189" s="559" t="str">
        <f aca="false">HLOOKUP($C$1,$E$1:$X$4910,ROW(D189))</f>
        <v>Social co-determination and transparency</v>
      </c>
      <c r="E189" s="584" t="s">
        <v>1506</v>
      </c>
      <c r="F189" s="585" t="s">
        <v>1507</v>
      </c>
      <c r="G189" s="563" t="s">
        <v>1508</v>
      </c>
      <c r="H189" s="556" t="s">
        <v>1509</v>
      </c>
      <c r="I189" s="556" t="str">
        <f aca="false">"[fr]"&amp;E189</f>
        <v>[fr]Transparenz und gesellschaftliche Mitentscheidung</v>
      </c>
      <c r="J189" s="591" t="s">
        <v>1510</v>
      </c>
      <c r="K189" s="576"/>
    </row>
    <row r="190" customFormat="false" ht="15.75" hidden="false" customHeight="true" outlineLevel="0" collapsed="false">
      <c r="C190" s="592" t="s">
        <v>103</v>
      </c>
      <c r="D190" s="559" t="str">
        <f aca="false">HLOOKUP($C$1,$E$1:$X$4910,ROW(D190))</f>
        <v>Transparency</v>
      </c>
      <c r="E190" s="587" t="s">
        <v>1511</v>
      </c>
      <c r="F190" s="556" t="s">
        <v>1512</v>
      </c>
      <c r="G190" s="563" t="s">
        <v>1513</v>
      </c>
      <c r="H190" s="556" t="s">
        <v>1514</v>
      </c>
      <c r="I190" s="556" t="str">
        <f aca="false">"[fr]"&amp;E190</f>
        <v>[fr]Transparenz</v>
      </c>
      <c r="J190" s="593" t="s">
        <v>1515</v>
      </c>
      <c r="K190" s="576"/>
    </row>
    <row r="191" customFormat="false" ht="28.5" hidden="false" customHeight="true" outlineLevel="0" collapsed="false">
      <c r="C191" s="592" t="s">
        <v>104</v>
      </c>
      <c r="D191" s="602" t="str">
        <f aca="false">HLOOKUP($C$1,$E$1:$X$4910,ROW(D191))</f>
        <v>Social participation</v>
      </c>
      <c r="E191" s="587" t="s">
        <v>1516</v>
      </c>
      <c r="F191" s="556" t="s">
        <v>1517</v>
      </c>
      <c r="G191" s="563" t="s">
        <v>1518</v>
      </c>
      <c r="H191" s="556" t="s">
        <v>1519</v>
      </c>
      <c r="I191" s="556" t="str">
        <f aca="false">"[fr]"&amp;E191</f>
        <v>[fr]Gesellschaftliche Mitbestimmung</v>
      </c>
      <c r="J191" s="593" t="s">
        <v>1520</v>
      </c>
      <c r="K191" s="576"/>
    </row>
    <row r="192" customFormat="false" ht="28.5" hidden="false" customHeight="true" outlineLevel="0" collapsed="false">
      <c r="C192" s="592" t="s">
        <v>105</v>
      </c>
      <c r="D192" s="559" t="str">
        <f aca="false">HLOOKUP($C$1,$E$1:$X$4910,ROW(D192))</f>
        <v>Negative aspect: lack of transparency and wilful misinformation</v>
      </c>
      <c r="E192" s="587" t="s">
        <v>1521</v>
      </c>
      <c r="F192" s="556" t="s">
        <v>1522</v>
      </c>
      <c r="G192" s="563" t="s">
        <v>1523</v>
      </c>
      <c r="H192" s="556" t="s">
        <v>1524</v>
      </c>
      <c r="I192" s="556" t="str">
        <f aca="false">"[fr]"&amp;E192</f>
        <v>[fr]Negativ-Aspekt: Förderung von Intransparenz und bewusste Fehlinformation</v>
      </c>
      <c r="J192" s="593" t="s">
        <v>1525</v>
      </c>
      <c r="K192" s="576"/>
    </row>
    <row r="193" customFormat="false" ht="15.75" hidden="false" customHeight="true" outlineLevel="0" collapsed="false">
      <c r="D193" s="559" t="n">
        <f aca="false">HLOOKUP($C$1,$E$1:$X$4910,ROW(D193))</f>
        <v>0</v>
      </c>
      <c r="E193" s="556"/>
      <c r="G193" s="563"/>
      <c r="H193" s="556"/>
      <c r="I193" s="556"/>
      <c r="J193" s="556"/>
      <c r="K193" s="556"/>
    </row>
    <row r="194" customFormat="false" ht="15.75" hidden="false" customHeight="true" outlineLevel="0" collapsed="false">
      <c r="D194" s="559" t="str">
        <f aca="false">HLOOKUP($C$1,$E$1:$X$4910,ROW(D194))</f>
        <v>Company details</v>
      </c>
      <c r="E194" s="556" t="s">
        <v>1526</v>
      </c>
      <c r="F194" s="556" t="s">
        <v>1527</v>
      </c>
      <c r="G194" s="563" t="s">
        <v>1528</v>
      </c>
      <c r="H194" s="556" t="s">
        <v>1529</v>
      </c>
      <c r="I194" s="556" t="str">
        <f aca="false">"[fr]"&amp;E194</f>
        <v>[fr]Fakten zum Unternehmen</v>
      </c>
      <c r="J194" s="556" t="str">
        <f aca="false">"[pt]"&amp;E194</f>
        <v>[pt]Fakten zum Unternehmen</v>
      </c>
      <c r="K194" s="556" t="str">
        <f aca="false">"[gr]"&amp;E194</f>
        <v>[gr]Fakten zum Unternehmen</v>
      </c>
    </row>
    <row r="195" customFormat="false" ht="121.5" hidden="false" customHeight="true" outlineLevel="0" collapsed="false">
      <c r="D195" s="559" t="str">
        <f aca="false">HLOOKUP($C$1,$E$1:$X$4910,ROW(D195))</f>
        <v>Fill in the highlighted fields below. Where detailed information is not available, please enter estimates, otherwise the calculation will not be accurate</v>
      </c>
      <c r="E195" s="562" t="s">
        <v>1530</v>
      </c>
      <c r="F195" s="556" t="s">
        <v>1531</v>
      </c>
      <c r="G195" s="563" t="s">
        <v>1532</v>
      </c>
      <c r="H195" s="556" t="s">
        <v>1533</v>
      </c>
      <c r="I195" s="556" t="str">
        <f aca="false">"[fr]"&amp;E195</f>
        <v>[fr]Bitte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J195" s="556" t="str">
        <f aca="false">"[pt]"&amp;E195</f>
        <v>[pt]Bitte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K195" s="556" t="str">
        <f aca="false">"[gr]"&amp;E195</f>
        <v>[gr]Bitte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row>
    <row r="196" customFormat="false" ht="15.75" hidden="false" customHeight="true" outlineLevel="0" collapsed="false">
      <c r="D196" s="559" t="n">
        <f aca="false">HLOOKUP($C$1,$E$1:$X$4910,ROW(D196))</f>
        <v>0</v>
      </c>
      <c r="E196" s="556"/>
      <c r="G196" s="563"/>
      <c r="H196" s="556"/>
      <c r="I196" s="556"/>
      <c r="J196" s="556"/>
      <c r="K196" s="556"/>
    </row>
    <row r="197" customFormat="false" ht="15.75" hidden="false" customHeight="true" outlineLevel="0" collapsed="false">
      <c r="D197" s="559" t="n">
        <f aca="false">HLOOKUP($C$1,$E$1:$X$4910,ROW(D197))</f>
        <v>0</v>
      </c>
      <c r="E197" s="556"/>
      <c r="G197" s="563"/>
      <c r="H197" s="556"/>
      <c r="I197" s="556"/>
      <c r="J197" s="556"/>
      <c r="K197" s="556"/>
    </row>
    <row r="198" customFormat="false" ht="15.75" hidden="false" customHeight="true" outlineLevel="0" collapsed="false">
      <c r="D198" s="559" t="n">
        <f aca="false">HLOOKUP($C$1,$E$1:$X$4910,ROW(D198))</f>
        <v>0</v>
      </c>
      <c r="E198" s="556"/>
      <c r="G198" s="563"/>
      <c r="H198" s="556"/>
      <c r="I198" s="556"/>
      <c r="J198" s="556"/>
      <c r="K198" s="556"/>
    </row>
    <row r="199" customFormat="false" ht="15.75" hidden="false" customHeight="true" outlineLevel="0" collapsed="false">
      <c r="D199" s="559" t="n">
        <f aca="false">HLOOKUP($C$1,$E$1:$X$4910,ROW(D199))</f>
        <v>0</v>
      </c>
      <c r="E199" s="556"/>
      <c r="G199" s="563"/>
      <c r="H199" s="556"/>
      <c r="I199" s="556"/>
      <c r="J199" s="556"/>
      <c r="K199" s="556"/>
    </row>
    <row r="200" customFormat="false" ht="15.75" hidden="false" customHeight="true" outlineLevel="0" collapsed="false">
      <c r="D200" s="559" t="n">
        <f aca="false">HLOOKUP($C$1,$E$1:$X$4910,ROW(D200))</f>
        <v>0</v>
      </c>
      <c r="E200" s="556"/>
      <c r="G200" s="563"/>
      <c r="H200" s="556"/>
      <c r="I200" s="556"/>
      <c r="J200" s="556"/>
      <c r="K200" s="556"/>
    </row>
    <row r="201" customFormat="false" ht="15.75" hidden="false" customHeight="true" outlineLevel="0" collapsed="false">
      <c r="D201" s="559" t="n">
        <f aca="false">HLOOKUP($C$1,$E$1:$X$4910,ROW(D201))</f>
        <v>0</v>
      </c>
      <c r="E201" s="556"/>
      <c r="G201" s="563"/>
      <c r="H201" s="556"/>
      <c r="I201" s="556"/>
      <c r="J201" s="556"/>
      <c r="K201" s="556"/>
    </row>
    <row r="202" customFormat="false" ht="15.75" hidden="false" customHeight="true" outlineLevel="0" collapsed="false">
      <c r="D202" s="559" t="str">
        <f aca="false">HLOOKUP($C$1,$E$1:$X$4910,ROW(D202))</f>
        <v>Please enter</v>
      </c>
      <c r="E202" s="556" t="s">
        <v>1534</v>
      </c>
      <c r="F202" s="556" t="s">
        <v>1535</v>
      </c>
      <c r="G202" s="563" t="s">
        <v>1536</v>
      </c>
      <c r="H202" s="556" t="s">
        <v>1537</v>
      </c>
      <c r="I202" s="556" t="str">
        <f aca="false">"[fr]"&amp;E202</f>
        <v>[fr]bitte einfügen</v>
      </c>
      <c r="J202" s="556" t="str">
        <f aca="false">"[pt]"&amp;E202</f>
        <v>[pt]bitte einfügen</v>
      </c>
      <c r="K202" s="556" t="str">
        <f aca="false">"[gr]"&amp;E202</f>
        <v>[gr]bitte einfügen</v>
      </c>
    </row>
    <row r="203" customFormat="false" ht="15.75" hidden="false" customHeight="true" outlineLevel="0" collapsed="false">
      <c r="D203" s="559" t="str">
        <f aca="false">HLOOKUP($C$1,$E$1:$X$4910,ROW(D203))</f>
        <v>Please choose</v>
      </c>
      <c r="E203" s="556" t="s">
        <v>1538</v>
      </c>
      <c r="F203" s="556" t="s">
        <v>1539</v>
      </c>
      <c r="G203" s="563" t="s">
        <v>1540</v>
      </c>
      <c r="H203" s="556" t="s">
        <v>1541</v>
      </c>
      <c r="I203" s="556" t="str">
        <f aca="false">"[fr]"&amp;E203</f>
        <v>[fr]Bitte Auswählen</v>
      </c>
      <c r="J203" s="556" t="str">
        <f aca="false">"[pt]"&amp;E203</f>
        <v>[pt]Bitte Auswählen</v>
      </c>
      <c r="K203" s="556" t="str">
        <f aca="false">"[gr]"&amp;E203</f>
        <v>[gr]Bitte Auswählen</v>
      </c>
    </row>
    <row r="204" customFormat="false" ht="15.75" hidden="false" customHeight="true" outlineLevel="0" collapsed="false">
      <c r="D204" s="559" t="str">
        <f aca="false">HLOOKUP($C$1,$E$1:$X$4910,ROW(D204))</f>
        <v>Description of the weighting model</v>
      </c>
      <c r="E204" s="556" t="s">
        <v>1542</v>
      </c>
      <c r="F204" s="556" t="s">
        <v>1543</v>
      </c>
      <c r="G204" s="563" t="s">
        <v>1544</v>
      </c>
      <c r="H204" s="556" t="s">
        <v>1545</v>
      </c>
      <c r="I204" s="556" t="str">
        <f aca="false">"[fr]"&amp;E204</f>
        <v>[fr]Beschreibung des Gewichtungsmodelles</v>
      </c>
      <c r="J204" s="556" t="str">
        <f aca="false">"[pt]"&amp;E204</f>
        <v>[pt]Beschreibung des Gewichtungsmodelles</v>
      </c>
      <c r="K204" s="556" t="str">
        <f aca="false">"[gr]"&amp;E204</f>
        <v>[gr]Beschreibung des Gewichtungsmodelles</v>
      </c>
    </row>
    <row r="205" customFormat="false" ht="15.75" hidden="false" customHeight="true" outlineLevel="0" collapsed="false">
      <c r="D205" s="559" t="str">
        <f aca="false">HLOOKUP($C$1,$E$1:$X$4910,ROW(D205))</f>
        <v>Themes</v>
      </c>
      <c r="E205" s="556" t="s">
        <v>1546</v>
      </c>
      <c r="F205" s="556" t="s">
        <v>1547</v>
      </c>
      <c r="G205" s="563" t="s">
        <v>1548</v>
      </c>
      <c r="H205" s="556" t="s">
        <v>1549</v>
      </c>
      <c r="I205" s="556" t="str">
        <f aca="false">"[fr]"&amp;E205</f>
        <v>[fr]Themen</v>
      </c>
      <c r="J205" s="556" t="str">
        <f aca="false">"[pt]"&amp;E205</f>
        <v>[pt]Themen</v>
      </c>
      <c r="K205" s="556" t="str">
        <f aca="false">"[gr]"&amp;E205</f>
        <v>[gr]Themen</v>
      </c>
    </row>
    <row r="206" customFormat="false" ht="28.5" hidden="false" customHeight="true" outlineLevel="0" collapsed="false">
      <c r="D206" s="559" t="str">
        <f aca="false">HLOOKUP($C$1,$E$1:$X$4910,ROW(D206))</f>
        <v>Values ►
Stakekolders ▼</v>
      </c>
      <c r="E206" s="603" t="s">
        <v>1550</v>
      </c>
      <c r="F206" s="603" t="s">
        <v>1551</v>
      </c>
      <c r="G206" s="603" t="s">
        <v>1552</v>
      </c>
      <c r="H206" s="556" t="s">
        <v>1553</v>
      </c>
      <c r="I206" s="556" t="str">
        <f aca="false">"[fr]"&amp;E206</f>
        <v>[fr]Werte ►
Berührungsgruppe ▼</v>
      </c>
      <c r="J206" s="556" t="str">
        <f aca="false">"[pt]"&amp;E206</f>
        <v>[pt]Werte ►
Berührungsgruppe ▼</v>
      </c>
      <c r="K206" s="556" t="str">
        <f aca="false">"[gr]"&amp;E206</f>
        <v>[gr]Werte ►
Berührungsgruppe ▼</v>
      </c>
    </row>
    <row r="207" customFormat="false" ht="15.75" hidden="false" customHeight="true" outlineLevel="0" collapsed="false">
      <c r="D207" s="559" t="str">
        <f aca="false">HLOOKUP($C$1,$E$1:$X$4910,ROW(D207))</f>
        <v>Stakekolders &amp; values</v>
      </c>
      <c r="E207" s="556" t="s">
        <v>1554</v>
      </c>
      <c r="F207" s="603" t="s">
        <v>1555</v>
      </c>
      <c r="G207" s="604" t="s">
        <v>1556</v>
      </c>
      <c r="H207" s="556" t="s">
        <v>1557</v>
      </c>
      <c r="I207" s="556" t="str">
        <f aca="false">"[fr]"&amp;E207</f>
        <v>[fr]Berührungsgruppen &amp; Werte</v>
      </c>
      <c r="J207" s="556" t="str">
        <f aca="false">"[pt]"&amp;E207</f>
        <v>[pt]Berührungsgruppen &amp; Werte</v>
      </c>
      <c r="K207" s="556" t="str">
        <f aca="false">"[gr]"&amp;E207</f>
        <v>[gr]Berührungsgruppen &amp; Werte</v>
      </c>
    </row>
    <row r="208" customFormat="false" ht="15.75" hidden="false" customHeight="true" outlineLevel="0" collapsed="false">
      <c r="D208" s="559" t="str">
        <f aca="false">HLOOKUP($C$1,$E$1:$X$4910,ROW(D208))</f>
        <v>General</v>
      </c>
      <c r="E208" s="556" t="s">
        <v>1558</v>
      </c>
      <c r="F208" s="556" t="s">
        <v>1559</v>
      </c>
      <c r="G208" s="563" t="s">
        <v>1560</v>
      </c>
      <c r="H208" s="556" t="s">
        <v>1560</v>
      </c>
      <c r="I208" s="556" t="str">
        <f aca="false">"[fr]"&amp;E208</f>
        <v>[fr]Allgemein</v>
      </c>
      <c r="J208" s="556" t="str">
        <f aca="false">"[pt]"&amp;E208</f>
        <v>[pt]Allgemein</v>
      </c>
      <c r="K208" s="556" t="str">
        <f aca="false">"[gr]"&amp;E208</f>
        <v>[gr]Allgemein</v>
      </c>
    </row>
    <row r="209" customFormat="false" ht="15.75" hidden="false" customHeight="true" outlineLevel="0" collapsed="false">
      <c r="D209" s="559" t="str">
        <f aca="false">HLOOKUP($C$1,$E$1:$X$4910,ROW(D209))</f>
        <v>Notes</v>
      </c>
      <c r="E209" s="556" t="s">
        <v>1561</v>
      </c>
      <c r="F209" s="556" t="s">
        <v>1562</v>
      </c>
      <c r="G209" s="563" t="s">
        <v>1563</v>
      </c>
      <c r="H209" s="556" t="s">
        <v>1564</v>
      </c>
      <c r="I209" s="556" t="str">
        <f aca="false">"[fr]"&amp;E209</f>
        <v>[fr]Anmerkungen</v>
      </c>
      <c r="J209" s="556" t="str">
        <f aca="false">"[pt]"&amp;E209</f>
        <v>[pt]Anmerkungen</v>
      </c>
      <c r="K209" s="556" t="str">
        <f aca="false">"[gr]"&amp;E209</f>
        <v>[gr]Anmerkungen</v>
      </c>
    </row>
    <row r="210" customFormat="false" ht="15.75" hidden="false" customHeight="true" outlineLevel="0" collapsed="false">
      <c r="D210" s="559" t="str">
        <f aca="false">HLOOKUP($C$1,$E$1:$X$4910,ROW(D210))</f>
        <v> (scaled for STs)</v>
      </c>
      <c r="E210" s="556" t="s">
        <v>1565</v>
      </c>
      <c r="F210" s="556" t="s">
        <v>1566</v>
      </c>
      <c r="G210" s="563" t="s">
        <v>1567</v>
      </c>
      <c r="H210" s="556" t="s">
        <v>1568</v>
      </c>
      <c r="I210" s="556" t="str">
        <f aca="false">"[fr]"&amp;E210</f>
        <v>[fr] (für EPUs skaliert)</v>
      </c>
      <c r="J210" s="556" t="str">
        <f aca="false">"[pt]"&amp;E210</f>
        <v>[pt] (für EPUs skaliert)</v>
      </c>
      <c r="K210" s="556" t="str">
        <f aca="false">"[gr]"&amp;E210</f>
        <v>[gr] (für EPUs skaliert)</v>
      </c>
    </row>
    <row r="211" customFormat="false" ht="15.75" hidden="false" customHeight="true" outlineLevel="0" collapsed="false">
      <c r="D211" s="559" t="str">
        <f aca="false">HLOOKUP($C$1,$E$1:$X$4910,ROW(D211))</f>
        <v> (not relevant for STs)</v>
      </c>
      <c r="E211" s="556" t="s">
        <v>1569</v>
      </c>
      <c r="F211" s="556" t="s">
        <v>1570</v>
      </c>
      <c r="G211" s="563" t="s">
        <v>1571</v>
      </c>
      <c r="H211" s="556" t="s">
        <v>1572</v>
      </c>
      <c r="I211" s="556" t="str">
        <f aca="false">"[fr]"&amp;E211</f>
        <v>[fr] (für EPUs nicht relevant)</v>
      </c>
      <c r="J211" s="556" t="str">
        <f aca="false">"[pt]"&amp;E211</f>
        <v>[pt] (für EPUs nicht relevant)</v>
      </c>
      <c r="K211" s="556" t="str">
        <f aca="false">"[gr]"&amp;E211</f>
        <v>[gr] (für EPUs nicht relevant)</v>
      </c>
    </row>
    <row r="212" customFormat="false" ht="15.75" hidden="false" customHeight="true" outlineLevel="0" collapsed="false">
      <c r="D212" s="559" t="str">
        <f aca="false">HLOOKUP($C$1,$E$1:$X$4910,ROW(D212))</f>
        <v>Note: This is not a certificate.</v>
      </c>
      <c r="E212" s="556" t="s">
        <v>1573</v>
      </c>
      <c r="F212" s="556" t="s">
        <v>1574</v>
      </c>
      <c r="G212" s="563" t="s">
        <v>1575</v>
      </c>
      <c r="H212" s="556" t="s">
        <v>1576</v>
      </c>
      <c r="I212" s="556" t="str">
        <f aca="false">"[fr]"&amp;E212</f>
        <v>[fr]Anmerkung: Dies ist kein Testat.</v>
      </c>
      <c r="J212" s="556" t="str">
        <f aca="false">"[pt]"&amp;E212</f>
        <v>[pt]Anmerkung: Dies ist kein Testat.</v>
      </c>
      <c r="K212" s="556" t="str">
        <f aca="false">"[gr]"&amp;E212</f>
        <v>[gr]Anmerkung: Dies ist kein Testat.</v>
      </c>
    </row>
    <row r="213" customFormat="false" ht="15.75" hidden="false" customHeight="true" outlineLevel="0" collapsed="false">
      <c r="D213" s="559" t="str">
        <f aca="false">HLOOKUP($C$1,$E$1:$X$4910,ROW(D213))</f>
        <v>COMMON GOOD MATRIX</v>
      </c>
      <c r="E213" s="556" t="s">
        <v>1577</v>
      </c>
      <c r="F213" s="556" t="s">
        <v>1578</v>
      </c>
      <c r="G213" s="563" t="s">
        <v>1579</v>
      </c>
      <c r="H213" s="556" t="s">
        <v>1580</v>
      </c>
      <c r="I213" s="556" t="str">
        <f aca="false">"[fr]"&amp;E213</f>
        <v>[fr]GEMEINWOHL-MATRIX</v>
      </c>
      <c r="J213" s="556" t="str">
        <f aca="false">"[pt]"&amp;E213</f>
        <v>[pt]GEMEINWOHL-MATRIX</v>
      </c>
      <c r="K213" s="556" t="str">
        <f aca="false">"[gr]"&amp;E213</f>
        <v>[gr]GEMEINWOHL-MATRIX</v>
      </c>
    </row>
    <row r="214" customFormat="false" ht="15.75" hidden="false" customHeight="true" outlineLevel="0" collapsed="false">
      <c r="D214" s="559" t="str">
        <f aca="false">HLOOKUP($C$1,$E$1:$X$4910,ROW(D214))</f>
        <v>of</v>
      </c>
      <c r="E214" s="556" t="s">
        <v>1581</v>
      </c>
      <c r="F214" s="556" t="s">
        <v>1582</v>
      </c>
      <c r="G214" s="563" t="s">
        <v>1583</v>
      </c>
      <c r="H214" s="556" t="s">
        <v>1584</v>
      </c>
      <c r="I214" s="556" t="str">
        <f aca="false">"[fr]"&amp;E214</f>
        <v>[fr] von </v>
      </c>
      <c r="J214" s="556" t="str">
        <f aca="false">"[pt]"&amp;E214</f>
        <v>[pt] von </v>
      </c>
      <c r="K214" s="556" t="str">
        <f aca="false">"[gr]"&amp;E214</f>
        <v>[gr] von </v>
      </c>
    </row>
    <row r="215" customFormat="false" ht="15.75" hidden="false" customHeight="true" outlineLevel="0" collapsed="false">
      <c r="D215" s="559" t="str">
        <f aca="false">HLOOKUP($C$1,$E$1:$X$4910,ROW(D215))</f>
        <v> points</v>
      </c>
      <c r="E215" s="556" t="s">
        <v>1585</v>
      </c>
      <c r="F215" s="556" t="s">
        <v>1586</v>
      </c>
      <c r="G215" s="563" t="s">
        <v>1587</v>
      </c>
      <c r="H215" s="556" t="s">
        <v>1588</v>
      </c>
      <c r="I215" s="556" t="str">
        <f aca="false">"[fr]"&amp;E215</f>
        <v>[fr] Punkten</v>
      </c>
      <c r="J215" s="556" t="str">
        <f aca="false">"[pt]"&amp;E215</f>
        <v>[pt] Punkten</v>
      </c>
      <c r="K215" s="556" t="str">
        <f aca="false">"[gr]"&amp;E215</f>
        <v>[gr] Punkten</v>
      </c>
    </row>
    <row r="216" customFormat="false" ht="15.75" hidden="false" customHeight="true" outlineLevel="0" collapsed="false">
      <c r="D216" s="559" t="str">
        <f aca="false">HLOOKUP($C$1,$E$1:$X$4910,ROW(D216))</f>
        <v>Human dignity</v>
      </c>
      <c r="E216" s="556" t="s">
        <v>1589</v>
      </c>
      <c r="F216" s="556" t="s">
        <v>1590</v>
      </c>
      <c r="G216" s="563" t="s">
        <v>1591</v>
      </c>
      <c r="H216" s="556" t="s">
        <v>1592</v>
      </c>
      <c r="I216" s="556" t="str">
        <f aca="false">"[fr]"&amp;E216</f>
        <v>[fr]Menschenwürde</v>
      </c>
      <c r="J216" s="556" t="str">
        <f aca="false">"[pt]"&amp;E216</f>
        <v>[pt]Menschenwürde</v>
      </c>
      <c r="K216" s="556" t="str">
        <f aca="false">"[gr]"&amp;E216</f>
        <v>[gr]Menschenwürde</v>
      </c>
    </row>
    <row r="217" customFormat="false" ht="15.75" hidden="false" customHeight="true" outlineLevel="0" collapsed="false">
      <c r="D217" s="559" t="str">
        <f aca="false">HLOOKUP($C$1,$E$1:$X$4910,ROW(D217))</f>
        <v>Solidarity &amp; social justice</v>
      </c>
      <c r="E217" s="556" t="s">
        <v>1593</v>
      </c>
      <c r="F217" s="556" t="s">
        <v>1594</v>
      </c>
      <c r="G217" s="563" t="s">
        <v>1595</v>
      </c>
      <c r="H217" s="556" t="s">
        <v>1596</v>
      </c>
      <c r="I217" s="556" t="str">
        <f aca="false">"[fr]"&amp;E217</f>
        <v>[fr]Solidarität &amp; Gerechtigkeit</v>
      </c>
      <c r="J217" s="556" t="str">
        <f aca="false">"[pt]"&amp;E217</f>
        <v>[pt]Solidarität &amp; Gerechtigkeit</v>
      </c>
      <c r="K217" s="556" t="str">
        <f aca="false">"[gr]"&amp;E217</f>
        <v>[gr]Solidarität &amp; Gerechtigkeit</v>
      </c>
    </row>
    <row r="218" customFormat="false" ht="15.75" hidden="false" customHeight="true" outlineLevel="0" collapsed="false">
      <c r="D218" s="559" t="str">
        <f aca="false">HLOOKUP($C$1,$E$1:$X$4910,ROW(D218))</f>
        <v>Environmental sustainability</v>
      </c>
      <c r="E218" s="556" t="s">
        <v>1597</v>
      </c>
      <c r="F218" s="556" t="s">
        <v>1598</v>
      </c>
      <c r="G218" s="563" t="s">
        <v>1599</v>
      </c>
      <c r="H218" s="556" t="s">
        <v>1600</v>
      </c>
      <c r="I218" s="556" t="str">
        <f aca="false">"[fr]"&amp;E218</f>
        <v>[fr]Ökologische Nachhaltigkeit</v>
      </c>
      <c r="J218" s="556" t="str">
        <f aca="false">"[pt]"&amp;E218</f>
        <v>[pt]Ökologische Nachhaltigkeit</v>
      </c>
      <c r="K218" s="556" t="str">
        <f aca="false">"[gr]"&amp;E218</f>
        <v>[gr]Ökologische Nachhaltigkeit</v>
      </c>
    </row>
    <row r="219" customFormat="false" ht="15.75" hidden="false" customHeight="true" outlineLevel="0" collapsed="false">
      <c r="D219" s="559" t="str">
        <f aca="false">HLOOKUP($C$1,$E$1:$X$4910,ROW(D219))</f>
        <v>Transparency &amp; co-determination</v>
      </c>
      <c r="E219" s="556" t="s">
        <v>1601</v>
      </c>
      <c r="F219" s="556" t="s">
        <v>1602</v>
      </c>
      <c r="G219" s="563" t="s">
        <v>1603</v>
      </c>
      <c r="H219" s="556" t="s">
        <v>1604</v>
      </c>
      <c r="I219" s="556" t="str">
        <f aca="false">"[fr]"&amp;E219</f>
        <v>[fr]Transparenz &amp; Mitentscheidung</v>
      </c>
      <c r="J219" s="556" t="str">
        <f aca="false">"[pt]"&amp;E219</f>
        <v>[pt]Transparenz &amp; Mitentscheidung</v>
      </c>
      <c r="K219" s="556" t="str">
        <f aca="false">"[gr]"&amp;E219</f>
        <v>[gr]Transparenz &amp; Mitentscheidung</v>
      </c>
    </row>
    <row r="220" customFormat="false" ht="15.75" hidden="false" customHeight="true" outlineLevel="0" collapsed="false">
      <c r="D220" s="559" t="str">
        <f aca="false">HLOOKUP($C$1,$E$1:$X$4910,ROW(D220))</f>
        <v>Common Good Star for</v>
      </c>
      <c r="E220" s="556" t="s">
        <v>1605</v>
      </c>
      <c r="F220" s="556" t="s">
        <v>1606</v>
      </c>
      <c r="G220" s="563" t="s">
        <v>1607</v>
      </c>
      <c r="H220" s="556" t="s">
        <v>1608</v>
      </c>
      <c r="I220" s="556" t="str">
        <f aca="false">"[fr]"&amp;E220</f>
        <v>[fr]Gemeinwohl-Stern für</v>
      </c>
      <c r="J220" s="556" t="str">
        <f aca="false">"[pt]"&amp;E220</f>
        <v>[pt]Gemeinwohl-Stern für</v>
      </c>
      <c r="K220" s="556" t="str">
        <f aca="false">"[gr]"&amp;E220</f>
        <v>[gr]Gemeinwohl-Stern für</v>
      </c>
    </row>
    <row r="221" customFormat="false" ht="15.75" hidden="false" customHeight="true" outlineLevel="0" collapsed="false">
      <c r="D221" s="559" t="str">
        <f aca="false">HLOOKUP($C$1,$E$1:$X$4910,ROW(D221))</f>
        <v>BALANCE OVERVIEW</v>
      </c>
      <c r="E221" s="556" t="s">
        <v>1609</v>
      </c>
      <c r="F221" s="556" t="s">
        <v>1610</v>
      </c>
      <c r="G221" s="563" t="s">
        <v>1611</v>
      </c>
      <c r="H221" s="556" t="s">
        <v>1612</v>
      </c>
      <c r="I221" s="556" t="str">
        <f aca="false">"[fr]"&amp;E221</f>
        <v>[fr]BILANZ-ÜBERSICHT</v>
      </c>
      <c r="J221" s="556" t="str">
        <f aca="false">"[pt]"&amp;E221</f>
        <v>[pt]BILANZ-ÜBERSICHT</v>
      </c>
      <c r="K221" s="556" t="str">
        <f aca="false">"[gr]"&amp;E221</f>
        <v>[gr]BILANZ-ÜBERSICHT</v>
      </c>
    </row>
    <row r="222" customFormat="false" ht="15.75" hidden="false" customHeight="true" outlineLevel="0" collapsed="false">
      <c r="D222" s="559" t="str">
        <f aca="false">HLOOKUP($C$1,$E$1:$X$4910,ROW(D222))</f>
        <v>TRANSPARENCY &amp; CO-DETERMINATION</v>
      </c>
      <c r="E222" s="556" t="s">
        <v>1613</v>
      </c>
      <c r="F222" s="556" t="s">
        <v>1614</v>
      </c>
      <c r="G222" s="563" t="s">
        <v>1615</v>
      </c>
      <c r="H222" s="556" t="s">
        <v>1616</v>
      </c>
      <c r="I222" s="556" t="str">
        <f aca="false">"[fr]"&amp;E222</f>
        <v>[fr]MITBESTIMMUNG UND TRANSPARENZ</v>
      </c>
      <c r="J222" s="556" t="str">
        <f aca="false">"[pt]"&amp;E222</f>
        <v>[pt]MITBESTIMMUNG UND TRANSPARENZ</v>
      </c>
      <c r="K222" s="556" t="str">
        <f aca="false">"[gr]"&amp;E222</f>
        <v>[gr]MITBESTIMMUNG UND TRANSPARENZ</v>
      </c>
    </row>
    <row r="223" customFormat="false" ht="15.75" hidden="false" customHeight="true" outlineLevel="0" collapsed="false">
      <c r="D223" s="559" t="str">
        <f aca="false">HLOOKUP($C$1,$E$1:$X$4910,ROW(D223))</f>
        <v>HUMAN DIGNITY</v>
      </c>
      <c r="E223" s="556" t="s">
        <v>1617</v>
      </c>
      <c r="F223" s="556" t="s">
        <v>1618</v>
      </c>
      <c r="G223" s="563" t="s">
        <v>1619</v>
      </c>
      <c r="H223" s="556" t="s">
        <v>1620</v>
      </c>
      <c r="I223" s="556" t="str">
        <f aca="false">"[fr]"&amp;E223</f>
        <v>[fr]MENSCHENWÜRDE</v>
      </c>
      <c r="J223" s="556" t="str">
        <f aca="false">"[pt]"&amp;E223</f>
        <v>[pt]MENSCHENWÜRDE</v>
      </c>
      <c r="K223" s="556" t="str">
        <f aca="false">"[gr]"&amp;E223</f>
        <v>[gr]MENSCHENWÜRDE</v>
      </c>
    </row>
    <row r="224" customFormat="false" ht="15.75" hidden="false" customHeight="true" outlineLevel="0" collapsed="false">
      <c r="D224" s="559" t="str">
        <f aca="false">HLOOKUP($C$1,$E$1:$X$4910,ROW(D224))</f>
        <v>SOLIDARITY</v>
      </c>
      <c r="E224" s="556" t="s">
        <v>1621</v>
      </c>
      <c r="F224" s="556" t="s">
        <v>1622</v>
      </c>
      <c r="G224" s="563" t="s">
        <v>1623</v>
      </c>
      <c r="H224" s="556" t="s">
        <v>1624</v>
      </c>
      <c r="I224" s="556" t="str">
        <f aca="false">"[fr]"&amp;E224</f>
        <v>[fr]SOLIDARITÄT</v>
      </c>
      <c r="J224" s="556" t="str">
        <f aca="false">"[pt]"&amp;E224</f>
        <v>[pt]SOLIDARITÄT</v>
      </c>
      <c r="K224" s="556" t="str">
        <f aca="false">"[gr]"&amp;E224</f>
        <v>[gr]SOLIDARITÄT</v>
      </c>
    </row>
    <row r="225" customFormat="false" ht="15.75" hidden="false" customHeight="true" outlineLevel="0" collapsed="false">
      <c r="D225" s="559" t="str">
        <f aca="false">HLOOKUP($C$1,$E$1:$X$4910,ROW(D225))</f>
        <v>ENVIRONMENTAL SUSTAINABILITY</v>
      </c>
      <c r="E225" s="556" t="s">
        <v>1625</v>
      </c>
      <c r="F225" s="556" t="s">
        <v>1626</v>
      </c>
      <c r="G225" s="563" t="s">
        <v>1627</v>
      </c>
      <c r="H225" s="556" t="s">
        <v>1628</v>
      </c>
      <c r="I225" s="556" t="str">
        <f aca="false">"[fr]"&amp;E225</f>
        <v>[fr]ÖKOLOGISCHE NACHHALTIGKEIT</v>
      </c>
      <c r="J225" s="556" t="str">
        <f aca="false">"[pt]"&amp;E225</f>
        <v>[pt]ÖKOLOGISCHE NACHHALTIGKEIT</v>
      </c>
      <c r="K225" s="556" t="str">
        <f aca="false">"[gr]"&amp;E225</f>
        <v>[gr]ÖKOLOGISCHE NACHHALTIGKEIT</v>
      </c>
    </row>
    <row r="226" customFormat="false" ht="15.75" hidden="false" customHeight="true" outlineLevel="0" collapsed="false">
      <c r="D226" s="559" t="str">
        <f aca="false">HLOOKUP($C$1,$E$1:$X$4910,ROW(D226))</f>
        <v>SOCIAL JUSTICE</v>
      </c>
      <c r="E226" s="556" t="s">
        <v>1629</v>
      </c>
      <c r="F226" s="556" t="s">
        <v>1630</v>
      </c>
      <c r="G226" s="563" t="s">
        <v>1631</v>
      </c>
      <c r="H226" s="556" t="s">
        <v>1632</v>
      </c>
      <c r="I226" s="556" t="str">
        <f aca="false">"[fr]"&amp;E226</f>
        <v>[fr]SOZIALE GERECHTIGKEIT</v>
      </c>
      <c r="J226" s="556" t="str">
        <f aca="false">"[pt]"&amp;E226</f>
        <v>[pt]SOZIALE GERECHTIGKEIT</v>
      </c>
      <c r="K226" s="556" t="str">
        <f aca="false">"[gr]"&amp;E226</f>
        <v>[gr]SOZIALE GERECHTIGKEIT</v>
      </c>
    </row>
    <row r="227" customFormat="false" ht="15.75" hidden="false" customHeight="true" outlineLevel="0" collapsed="false">
      <c r="D227" s="559" t="str">
        <f aca="false">HLOOKUP($C$1,$E$1:$X$4910,ROW(D227))</f>
        <v>TRANSPARENCY &amp; CO-DETERMINATION</v>
      </c>
      <c r="E227" s="556" t="s">
        <v>1613</v>
      </c>
      <c r="F227" s="556" t="s">
        <v>1614</v>
      </c>
      <c r="G227" s="563" t="s">
        <v>1615</v>
      </c>
      <c r="H227" s="556" t="s">
        <v>1616</v>
      </c>
      <c r="I227" s="556" t="str">
        <f aca="false">"[fr]"&amp;E227</f>
        <v>[fr]MITBESTIMMUNG UND TRANSPARENZ</v>
      </c>
      <c r="J227" s="556" t="str">
        <f aca="false">"[pt]"&amp;E227</f>
        <v>[pt]MITBESTIMMUNG UND TRANSPARENZ</v>
      </c>
      <c r="K227" s="556" t="str">
        <f aca="false">"[gr]"&amp;E227</f>
        <v>[gr]MITBESTIMMUNG UND TRANSPARENZ</v>
      </c>
    </row>
    <row r="228" customFormat="false" ht="15.75" hidden="false" customHeight="true" outlineLevel="0" collapsed="false">
      <c r="D228" s="559" t="str">
        <f aca="false">HLOOKUP($C$1,$E$1:$X$4910,ROW(D228))</f>
        <v>TOTAL</v>
      </c>
      <c r="E228" s="556" t="s">
        <v>1633</v>
      </c>
      <c r="F228" s="556" t="s">
        <v>1634</v>
      </c>
      <c r="G228" s="563" t="s">
        <v>1635</v>
      </c>
      <c r="H228" s="556" t="s">
        <v>1635</v>
      </c>
      <c r="I228" s="556" t="str">
        <f aca="false">"[fr]"&amp;E228</f>
        <v>[fr]SUMME</v>
      </c>
      <c r="J228" s="556" t="str">
        <f aca="false">"[pt]"&amp;E228</f>
        <v>[pt]SUMME</v>
      </c>
      <c r="K228" s="556" t="str">
        <f aca="false">"[gr]"&amp;E228</f>
        <v>[gr]SUMME</v>
      </c>
    </row>
    <row r="229" customFormat="false" ht="15.75" hidden="false" customHeight="true" outlineLevel="0" collapsed="false">
      <c r="D229" s="559" t="str">
        <f aca="false">HLOOKUP($C$1,$E$1:$X$4910,ROW(D229))</f>
        <v>(scaled for STs)</v>
      </c>
      <c r="E229" s="556" t="s">
        <v>1636</v>
      </c>
      <c r="F229" s="556" t="s">
        <v>1637</v>
      </c>
      <c r="G229" s="563" t="s">
        <v>1638</v>
      </c>
      <c r="H229" s="556" t="s">
        <v>1568</v>
      </c>
      <c r="I229" s="556" t="str">
        <f aca="false">"[fr]"&amp;E229</f>
        <v>[fr](für EPUs skaliert)</v>
      </c>
      <c r="J229" s="556" t="str">
        <f aca="false">"[pt]"&amp;E229</f>
        <v>[pt](für EPUs skaliert)</v>
      </c>
      <c r="K229" s="556" t="str">
        <f aca="false">"[gr]"&amp;E229</f>
        <v>[gr](für EPUs skaliert)</v>
      </c>
    </row>
    <row r="230" customFormat="false" ht="15.75" hidden="false" customHeight="true" outlineLevel="0" collapsed="false">
      <c r="D230" s="559" t="str">
        <f aca="false">HLOOKUP($C$1,$E$1:$X$4910,ROW(D230))</f>
        <v>Documentation of assessment</v>
      </c>
      <c r="E230" s="556" t="s">
        <v>1639</v>
      </c>
      <c r="F230" s="556" t="s">
        <v>1640</v>
      </c>
      <c r="G230" s="563" t="s">
        <v>1641</v>
      </c>
      <c r="H230" s="556" t="s">
        <v>1642</v>
      </c>
      <c r="I230" s="556" t="str">
        <f aca="false">"[fr]"&amp;E230</f>
        <v>[fr]Dokumentation der Bewertung</v>
      </c>
      <c r="J230" s="556" t="str">
        <f aca="false">"[pt]"&amp;E230</f>
        <v>[pt]Dokumentation der Bewertung</v>
      </c>
      <c r="K230" s="556" t="str">
        <f aca="false">"[gr]"&amp;E230</f>
        <v>[gr]Dokumentation der Bewertung</v>
      </c>
    </row>
    <row r="231" customFormat="false" ht="15.75" hidden="false" customHeight="true" outlineLevel="0" collapsed="false">
      <c r="D231" s="559" t="str">
        <f aca="false">HLOOKUP($C$1,$E$1:$X$4910,ROW(D231))</f>
        <v>Self-assessment</v>
      </c>
      <c r="E231" s="556" t="s">
        <v>1643</v>
      </c>
      <c r="F231" s="556" t="s">
        <v>1644</v>
      </c>
      <c r="G231" s="563" t="s">
        <v>1645</v>
      </c>
      <c r="H231" s="556" t="s">
        <v>1646</v>
      </c>
      <c r="I231" s="556" t="str">
        <f aca="false">"[fr]"&amp;E231</f>
        <v>[fr]Selbsteinschätzung</v>
      </c>
      <c r="J231" s="556" t="str">
        <f aca="false">"[pt]"&amp;E231</f>
        <v>[pt]Selbsteinschätzung</v>
      </c>
      <c r="K231" s="556" t="str">
        <f aca="false">"[gr]"&amp;E231</f>
        <v>[gr]Selbsteinschätzung</v>
      </c>
    </row>
    <row r="232" customFormat="false" ht="15.75" hidden="false" customHeight="true" outlineLevel="0" collapsed="false">
      <c r="D232" s="559" t="str">
        <f aca="false">HLOOKUP($C$1,$E$1:$X$4910,ROW(D232))</f>
        <v>Peer-assessment</v>
      </c>
      <c r="E232" s="605" t="s">
        <v>1647</v>
      </c>
      <c r="F232" s="605" t="s">
        <v>1648</v>
      </c>
      <c r="G232" s="606" t="s">
        <v>1649</v>
      </c>
      <c r="H232" s="556" t="s">
        <v>1650</v>
      </c>
      <c r="I232" s="556" t="str">
        <f aca="false">"[fr]"&amp;E232</f>
        <v>[fr]Peer-Evaluation</v>
      </c>
      <c r="J232" s="556" t="str">
        <f aca="false">"[pt]"&amp;E232</f>
        <v>[pt]Peer-Evaluation</v>
      </c>
      <c r="K232" s="556" t="str">
        <f aca="false">"[gr]"&amp;E232</f>
        <v>[gr]Peer-Evaluation</v>
      </c>
    </row>
    <row r="233" customFormat="false" ht="15.75" hidden="false" customHeight="true" outlineLevel="0" collapsed="false">
      <c r="D233" s="559" t="str">
        <f aca="false">HLOOKUP($C$1,$E$1:$X$4910,ROW(D233))</f>
        <v>Provisional audit assessment</v>
      </c>
      <c r="E233" s="605" t="s">
        <v>1651</v>
      </c>
      <c r="F233" s="605" t="s">
        <v>1652</v>
      </c>
      <c r="G233" s="606" t="s">
        <v>1653</v>
      </c>
      <c r="H233" s="556" t="s">
        <v>1654</v>
      </c>
      <c r="I233" s="556" t="str">
        <f aca="false">"[fr]"&amp;E233</f>
        <v>[fr]Provisorische Bewertung des externen Audits</v>
      </c>
      <c r="J233" s="556" t="str">
        <f aca="false">"[pt]"&amp;E233</f>
        <v>[pt]Provisorische Bewertung des externen Audits</v>
      </c>
      <c r="K233" s="556" t="str">
        <f aca="false">"[gr]"&amp;E233</f>
        <v>[gr]Provisorische Bewertung des externen Audits</v>
      </c>
    </row>
    <row r="234" customFormat="false" ht="15.75" hidden="false" customHeight="true" outlineLevel="0" collapsed="false">
      <c r="D234" s="559" t="str">
        <f aca="false">HLOOKUP($C$1,$E$1:$X$4910,ROW(D234))</f>
        <v>Agreed audit assessment</v>
      </c>
      <c r="E234" s="605" t="s">
        <v>1655</v>
      </c>
      <c r="F234" s="605" t="s">
        <v>1656</v>
      </c>
      <c r="G234" s="606" t="s">
        <v>1657</v>
      </c>
      <c r="H234" s="556" t="s">
        <v>1658</v>
      </c>
      <c r="I234" s="556" t="str">
        <f aca="false">"[fr]"&amp;E234</f>
        <v>[fr]Definitive Bewertung externen Audits /Peer</v>
      </c>
      <c r="J234" s="556" t="str">
        <f aca="false">"[pt]"&amp;E234</f>
        <v>[pt]Definitive Bewertung externen Audits /Peer</v>
      </c>
      <c r="K234" s="556" t="str">
        <f aca="false">"[gr]"&amp;E234</f>
        <v>[gr]Definitive Bewertung externen Audits /Peer</v>
      </c>
    </row>
    <row r="235" customFormat="false" ht="15.75" hidden="false" customHeight="true" outlineLevel="0" collapsed="false">
      <c r="D235" s="559" t="str">
        <f aca="false">HLOOKUP($C$1,$E$1:$X$4910,ROW(D235))</f>
        <v>Password for EXCEL sheet protection "ebc"</v>
      </c>
      <c r="E235" s="556" t="s">
        <v>1659</v>
      </c>
      <c r="F235" s="556" t="s">
        <v>1660</v>
      </c>
      <c r="G235" s="563" t="s">
        <v>1661</v>
      </c>
      <c r="H235" s="556" t="s">
        <v>1662</v>
      </c>
      <c r="I235" s="556" t="str">
        <f aca="false">"[fr]"&amp;E235</f>
        <v>[fr]Passwort für den Schutz der Tabellen: „ebc“</v>
      </c>
      <c r="J235" s="556" t="str">
        <f aca="false">"[pt]"&amp;E235</f>
        <v>[pt]Passwort für den Schutz der Tabellen: „ebc“</v>
      </c>
      <c r="K235" s="556" t="str">
        <f aca="false">"[gr]"&amp;E235</f>
        <v>[gr]Passwort für den Schutz der Tabellen: „ebc“</v>
      </c>
    </row>
    <row r="236" customFormat="false" ht="15.75" hidden="false" customHeight="true" outlineLevel="0" collapsed="false">
      <c r="C236" s="576" t="n">
        <v>3</v>
      </c>
      <c r="D236" s="559" t="str">
        <f aca="false">HLOOKUP($C$1,$E$1:$X$4910,ROW(D236))</f>
        <v>high</v>
      </c>
      <c r="E236" s="556" t="s">
        <v>161</v>
      </c>
      <c r="F236" s="556" t="s">
        <v>1067</v>
      </c>
      <c r="G236" s="563" t="s">
        <v>1068</v>
      </c>
      <c r="H236" s="556" t="s">
        <v>1663</v>
      </c>
      <c r="I236" s="556" t="str">
        <f aca="false">"[fr]"&amp;E236</f>
        <v>[fr]hoch</v>
      </c>
      <c r="J236" s="556" t="str">
        <f aca="false">"[pt]"&amp;E236</f>
        <v>[pt]hoch</v>
      </c>
      <c r="K236" s="556" t="str">
        <f aca="false">"[gr]"&amp;E236</f>
        <v>[gr]hoch</v>
      </c>
    </row>
    <row r="237" customFormat="false" ht="15.75" hidden="false" customHeight="true" outlineLevel="0" collapsed="false">
      <c r="C237" s="576" t="n">
        <v>2</v>
      </c>
      <c r="D237" s="559" t="str">
        <f aca="false">HLOOKUP($C$1,$E$1:$X$4910,ROW(D237))</f>
        <v>medium</v>
      </c>
      <c r="E237" s="556" t="s">
        <v>160</v>
      </c>
      <c r="F237" s="556" t="s">
        <v>1070</v>
      </c>
      <c r="G237" s="563" t="s">
        <v>1071</v>
      </c>
      <c r="H237" s="556" t="s">
        <v>1664</v>
      </c>
      <c r="I237" s="556" t="str">
        <f aca="false">"[fr]"&amp;E237</f>
        <v>[fr]mittel</v>
      </c>
      <c r="J237" s="556" t="str">
        <f aca="false">"[pt]"&amp;E237</f>
        <v>[pt]mittel</v>
      </c>
      <c r="K237" s="556" t="str">
        <f aca="false">"[gr]"&amp;E237</f>
        <v>[gr]mittel</v>
      </c>
    </row>
    <row r="238" customFormat="false" ht="15.75" hidden="false" customHeight="true" outlineLevel="0" collapsed="false">
      <c r="C238" s="576" t="n">
        <v>1</v>
      </c>
      <c r="D238" s="559" t="str">
        <f aca="false">HLOOKUP($C$1,$E$1:$X$4910,ROW(D238))</f>
        <v>low</v>
      </c>
      <c r="E238" s="556" t="s">
        <v>159</v>
      </c>
      <c r="F238" s="556" t="s">
        <v>1073</v>
      </c>
      <c r="G238" s="563" t="s">
        <v>1074</v>
      </c>
      <c r="H238" s="556" t="s">
        <v>1665</v>
      </c>
      <c r="I238" s="556" t="str">
        <f aca="false">"[fr]"&amp;E238</f>
        <v>[fr]niedrig</v>
      </c>
      <c r="J238" s="556" t="str">
        <f aca="false">"[pt]"&amp;E238</f>
        <v>[pt]niedrig</v>
      </c>
      <c r="K238" s="556" t="str">
        <f aca="false">"[gr]"&amp;E238</f>
        <v>[gr]niedrig</v>
      </c>
    </row>
    <row r="239" customFormat="false" ht="15.75" hidden="false" customHeight="true" outlineLevel="0" collapsed="false">
      <c r="C239" s="576" t="n">
        <v>0</v>
      </c>
      <c r="D239" s="559" t="str">
        <f aca="false">HLOOKUP($C$1,$E$1:$X$4910,ROW(D239))</f>
        <v>non applicable</v>
      </c>
      <c r="E239" s="556" t="s">
        <v>158</v>
      </c>
      <c r="F239" s="556" t="s">
        <v>1666</v>
      </c>
      <c r="G239" s="563" t="s">
        <v>1667</v>
      </c>
      <c r="H239" s="556" t="s">
        <v>1668</v>
      </c>
      <c r="I239" s="556" t="str">
        <f aca="false">"[fr]"&amp;E239</f>
        <v>[fr]trifft nicht zu</v>
      </c>
      <c r="J239" s="556" t="str">
        <f aca="false">"[pt]"&amp;E239</f>
        <v>[pt]trifft nicht zu</v>
      </c>
      <c r="K239" s="556" t="str">
        <f aca="false">"[gr]"&amp;E239</f>
        <v>[gr]trifft nicht zu</v>
      </c>
    </row>
    <row r="240" customFormat="false" ht="15.75" hidden="false" customHeight="true" outlineLevel="0" collapsed="false">
      <c r="D240" s="559" t="str">
        <f aca="false">HLOOKUP($C$1,$E$1:$X$4910,ROW(D240))</f>
        <v>Weighting changed. Original </v>
      </c>
      <c r="E240" s="556" t="s">
        <v>1669</v>
      </c>
      <c r="F240" s="556" t="s">
        <v>1670</v>
      </c>
      <c r="G240" s="563" t="s">
        <v>1671</v>
      </c>
      <c r="H240" s="556" t="s">
        <v>1672</v>
      </c>
      <c r="I240" s="556" t="str">
        <f aca="false">"[fr]"&amp;E240</f>
        <v>[fr]Gewichtung geändert. Ursprünglich </v>
      </c>
      <c r="J240" s="556" t="str">
        <f aca="false">"[pt]"&amp;E240</f>
        <v>[pt]Gewichtung geändert. Ursprünglich </v>
      </c>
      <c r="K240" s="556" t="str">
        <f aca="false">"[gr]"&amp;E240</f>
        <v>[gr]Gewichtung geändert. Ursprünglich </v>
      </c>
    </row>
    <row r="241" customFormat="false" ht="15.75" hidden="false" customHeight="true" outlineLevel="0" collapsed="false">
      <c r="D241" s="559" t="str">
        <f aca="false">HLOOKUP($C$1,$E$1:$X$4910,ROW(D241))</f>
        <v>Values star for </v>
      </c>
      <c r="E241" s="556" t="s">
        <v>1673</v>
      </c>
      <c r="F241" s="556" t="s">
        <v>1674</v>
      </c>
      <c r="G241" s="556" t="s">
        <v>1675</v>
      </c>
      <c r="H241" s="556" t="s">
        <v>1676</v>
      </c>
      <c r="I241" s="556" t="str">
        <f aca="false">"[fr]"&amp;E241</f>
        <v>[fr]Werte-Stern für </v>
      </c>
      <c r="J241" s="556" t="str">
        <f aca="false">"[pt]"&amp;E241</f>
        <v>[pt]Werte-Stern für </v>
      </c>
      <c r="K241" s="556" t="str">
        <f aca="false">"[gr]"&amp;E241</f>
        <v>[gr]Werte-Stern für </v>
      </c>
    </row>
    <row r="242" customFormat="false" ht="15.75" hidden="false" customHeight="true" outlineLevel="0" collapsed="false">
      <c r="D242" s="559" t="str">
        <f aca="false">HLOOKUP($C$1,$E$1:$X$4910,ROW(D242))</f>
        <v>Group star for </v>
      </c>
      <c r="E242" s="556" t="s">
        <v>1677</v>
      </c>
      <c r="F242" s="556" t="s">
        <v>1678</v>
      </c>
      <c r="G242" s="556" t="s">
        <v>1679</v>
      </c>
      <c r="H242" s="556" t="s">
        <v>1680</v>
      </c>
      <c r="I242" s="556" t="str">
        <f aca="false">"[fr]"&amp;E242</f>
        <v>[fr]Gruppen-Stern für </v>
      </c>
      <c r="J242" s="556" t="str">
        <f aca="false">"[pt]"&amp;E242</f>
        <v>[pt]Gruppen-Stern für </v>
      </c>
      <c r="K242" s="556" t="str">
        <f aca="false">"[gr]"&amp;E242</f>
        <v>[gr]Gruppen-Stern für </v>
      </c>
    </row>
    <row r="243" customFormat="false" ht="15.75" hidden="false" customHeight="true" outlineLevel="0" collapsed="false">
      <c r="D243" s="559" t="str">
        <f aca="false">HLOOKUP($C$1,$E$1:$X$4910,ROW(D243))</f>
        <v>Theme star for </v>
      </c>
      <c r="E243" s="556" t="s">
        <v>1681</v>
      </c>
      <c r="F243" s="556" t="s">
        <v>1682</v>
      </c>
      <c r="G243" s="556" t="s">
        <v>1683</v>
      </c>
      <c r="H243" s="556" t="s">
        <v>1684</v>
      </c>
      <c r="I243" s="556" t="str">
        <f aca="false">"[fr]"&amp;E243</f>
        <v>[fr]Themen-Stern für </v>
      </c>
      <c r="J243" s="556" t="str">
        <f aca="false">"[pt]"&amp;E243</f>
        <v>[pt]Themen-Stern für </v>
      </c>
      <c r="K243" s="556" t="str">
        <f aca="false">"[gr]"&amp;E243</f>
        <v>[gr]Themen-Stern für </v>
      </c>
    </row>
    <row r="244" customFormat="false" ht="357.6" hidden="false" customHeight="true" outlineLevel="0" collapsed="false">
      <c r="B244" s="607" t="str">
        <f aca="false">D208</f>
        <v>General</v>
      </c>
      <c r="D244" s="559" t="str">
        <f aca="false">HLOOKUP($C$1,$E$1:$X$4910,ROW(D244))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v>
      </c>
      <c r="E244" s="608" t="s">
        <v>1685</v>
      </c>
      <c r="F244" s="556" t="s">
        <v>1686</v>
      </c>
      <c r="G244" s="563" t="s">
        <v>1687</v>
      </c>
      <c r="H244" s="556" t="s">
        <v>1688</v>
      </c>
      <c r="I244" s="556" t="str">
        <f aca="false">"[fr]"&amp;E244</f>
        <v>[fr]Die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J244" s="556" t="str">
        <f aca="false">"[pt]"&amp;E244</f>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556" t="str">
        <f aca="false">"[gr]"&amp;E244</f>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customFormat="false" ht="227.85" hidden="false" customHeight="true" outlineLevel="0" collapsed="false">
      <c r="B245" s="607" t="s">
        <v>1554</v>
      </c>
      <c r="D245" s="559" t="str">
        <f aca="false">HLOOKUP($C$1,$E$1:$X$4910,ROW(D245))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608" t="s">
        <v>1689</v>
      </c>
      <c r="F245" s="556" t="s">
        <v>1690</v>
      </c>
      <c r="G245" s="563" t="s">
        <v>1691</v>
      </c>
      <c r="H245" s="556" t="s">
        <v>1692</v>
      </c>
      <c r="I245" s="556" t="str">
        <f aca="false">"[fr]"&amp;E245</f>
        <v>[fr]Bei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c r="J245" s="556" t="str">
        <f aca="false">"[pt]"&amp;E245</f>
        <v>[pt]Bei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c r="K245" s="556" t="str">
        <f aca="false">"[gr]"&amp;E245</f>
        <v>[gr]Bei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row>
    <row r="246" customFormat="false" ht="161.25" hidden="false" customHeight="true" outlineLevel="0" collapsed="false">
      <c r="B246" s="609" t="s">
        <v>1546</v>
      </c>
      <c r="D246" s="559" t="str">
        <f aca="false">HLOOKUP($C$1,$E$1:$X$4910,ROW(D246))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610" t="s">
        <v>1693</v>
      </c>
      <c r="F246" s="556" t="s">
        <v>1694</v>
      </c>
      <c r="G246" s="563" t="s">
        <v>1695</v>
      </c>
      <c r="H246" s="556" t="s">
        <v>1696</v>
      </c>
      <c r="I246" s="556" t="str">
        <f aca="false">"[fr]"&amp;E246</f>
        <v>[fr]Auf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J246" s="556" t="str">
        <f aca="false">"[pt]"&amp;E246</f>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556" t="str">
        <f aca="false">"[gr]"&amp;E246</f>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customFormat="false" ht="28.5" hidden="false" customHeight="true" outlineLevel="0" collapsed="false">
      <c r="B247" s="611" t="s">
        <v>23</v>
      </c>
      <c r="D247" s="559" t="str">
        <f aca="false">HLOOKUP($C$1,$E$1:$X$4910,ROW(D247))</f>
        <v>The weighting of this theme is dependent on the social risks of the supplier's sector.</v>
      </c>
      <c r="E247" s="612" t="s">
        <v>1697</v>
      </c>
      <c r="F247" s="556" t="s">
        <v>1698</v>
      </c>
      <c r="G247" s="563" t="s">
        <v>1699</v>
      </c>
      <c r="H247" s="556" t="s">
        <v>1700</v>
      </c>
      <c r="I247" s="556" t="str">
        <f aca="false">"[fr]"&amp;E247</f>
        <v>[fr]Die Gewichtung dieses Thema’s ist abhängig von den sozialen Risiken der Zulieferbranchen</v>
      </c>
      <c r="J247" s="556" t="str">
        <f aca="false">"[pt]"&amp;E247</f>
        <v>[pt]Die Gewichtung dieses Thema’s ist abhängig von den sozialen Risiken der Zulieferbranchen</v>
      </c>
      <c r="K247" s="556" t="str">
        <f aca="false">"[gr]"&amp;E247</f>
        <v>[gr]Die Gewichtung dieses Thema’s ist abhängig von den sozialen Risiken der Zulieferbranchen</v>
      </c>
    </row>
    <row r="248" customFormat="false" ht="15.75" hidden="false" customHeight="true" outlineLevel="0" collapsed="false">
      <c r="B248" s="613" t="s">
        <v>26</v>
      </c>
      <c r="D248" s="559" t="str">
        <f aca="false">HLOOKUP($C$1,$E$1:$X$4910,ROW(D248))</f>
        <v>-</v>
      </c>
      <c r="E248" s="614" t="s">
        <v>164</v>
      </c>
      <c r="F248" s="615" t="s">
        <v>164</v>
      </c>
      <c r="G248" s="615" t="s">
        <v>164</v>
      </c>
      <c r="H248" s="556" t="s">
        <v>164</v>
      </c>
      <c r="I248" s="556" t="str">
        <f aca="false">"[fr]"&amp;E248</f>
        <v>[fr]-</v>
      </c>
      <c r="J248" s="556" t="str">
        <f aca="false">"[pt]"&amp;E248</f>
        <v>[pt]-</v>
      </c>
      <c r="K248" s="556" t="str">
        <f aca="false">"[gr]"&amp;E248</f>
        <v>[gr]-</v>
      </c>
    </row>
    <row r="249" customFormat="false" ht="54.75" hidden="false" customHeight="true" outlineLevel="0" collapsed="false">
      <c r="B249" s="616" t="s">
        <v>30</v>
      </c>
      <c r="D249" s="559" t="str">
        <f aca="false">HLOOKUP($C$1,$E$1:$X$4910,ROW(D249))</f>
        <v>The weighting of this theme is dependent on the environmental effect of the supplier's sector (see sheet “Industry").</v>
      </c>
      <c r="E249" s="614" t="s">
        <v>1701</v>
      </c>
      <c r="F249" s="556" t="s">
        <v>1702</v>
      </c>
      <c r="G249" s="563" t="s">
        <v>1703</v>
      </c>
      <c r="H249" s="556" t="s">
        <v>1704</v>
      </c>
      <c r="I249" s="556" t="str">
        <f aca="false">"[fr]"&amp;E249</f>
        <v>[fr]Die Gewichtung dieses Thema’s ist abhängig vom ökologischen Effekt der Branche des Lieferanten (siehe Tabellenblatt “Industry”)</v>
      </c>
      <c r="J249" s="556" t="str">
        <f aca="false">"[pt]"&amp;E249</f>
        <v>[pt]Die Gewichtung dieses Thema’s ist abhängig vom ökologischen Effekt der Branche des Lieferanten (siehe Tabellenblatt “Industry”)</v>
      </c>
      <c r="K249" s="556" t="str">
        <f aca="false">"[gr]"&amp;E249</f>
        <v>[gr]Die Gewichtung dieses Thema’s ist abhängig vom ökologischen Effekt der Branche des Lieferanten (siehe Tabellenblatt “Industry”)</v>
      </c>
    </row>
    <row r="250" customFormat="false" ht="68.25" hidden="false" customHeight="true" outlineLevel="0" collapsed="false">
      <c r="B250" s="616" t="s">
        <v>33</v>
      </c>
      <c r="D250" s="559" t="str">
        <f aca="false">HLOOKUP($C$1,$E$1:$X$4910,ROW(D250))</f>
        <v>The weighting of this theme is dependent on co-determination rights in the countries of the most important supply industries (based on the ILUC index of the International Labour Union).</v>
      </c>
      <c r="E250" s="617" t="s">
        <v>1705</v>
      </c>
      <c r="F250" s="556" t="s">
        <v>1706</v>
      </c>
      <c r="G250" s="563" t="s">
        <v>1707</v>
      </c>
      <c r="H250" s="556" t="s">
        <v>1708</v>
      </c>
      <c r="I250" s="556" t="str">
        <f aca="false">"[fr]"&amp;E250</f>
        <v>[fr]Die Gewichtung dieses Thema’s ist abhängig von den Mitbestimmungsrechte in den Ländern der wichtigsten Zulieferbranchen (basierend auf dem ITUC-Index der International Trade Union Confederation)</v>
      </c>
      <c r="J250" s="556" t="str">
        <f aca="false">"[pt]"&amp;E250</f>
        <v>[pt]Die Gewichtung dieses Thema’s ist abhängig von den Mitbestimmungsrechte in den Ländern der wichtigsten Zulieferbranchen (basierend auf dem ITUC-Index der International Trade Union Confederation)</v>
      </c>
      <c r="K250" s="556" t="str">
        <f aca="false">"[gr]"&amp;E250</f>
        <v>[gr]Die Gewichtung dieses Thema’s ist abhängig von den Mitbestimmungsrechte in den Ländern der wichtigsten Zulieferbranchen (basierend auf dem ITUC-Index der International Trade Union Confederation)</v>
      </c>
    </row>
    <row r="251" customFormat="false" ht="28.5" hidden="false" customHeight="true" outlineLevel="0" collapsed="false">
      <c r="B251" s="616" t="s">
        <v>37</v>
      </c>
      <c r="D251" s="559" t="str">
        <f aca="false">HLOOKUP($C$1,$E$1:$X$4910,ROW(D251))</f>
        <v>The weighting of this theme depends on the ratio turnover to the balance sheet total.</v>
      </c>
      <c r="E251" s="614" t="s">
        <v>1709</v>
      </c>
      <c r="F251" s="556" t="s">
        <v>1710</v>
      </c>
      <c r="G251" s="563" t="s">
        <v>1711</v>
      </c>
      <c r="H251" s="556" t="s">
        <v>1712</v>
      </c>
      <c r="I251" s="556" t="str">
        <f aca="false">"[fr]"&amp;E251</f>
        <v>[fr]Die Gewichtung dieses Thema’s ist abhängig von der Relation Umsatz zu Bilanzsumme</v>
      </c>
      <c r="J251" s="556" t="str">
        <f aca="false">"[pt]"&amp;E251</f>
        <v>[pt]Die Gewichtung dieses Thema’s ist abhängig von der Relation Umsatz zu Bilanzsumme</v>
      </c>
      <c r="K251" s="556" t="str">
        <f aca="false">"[gr]"&amp;E251</f>
        <v>[gr]Die Gewichtung dieses Thema’s ist abhängig von der Relation Umsatz zu Bilanzsumme</v>
      </c>
    </row>
    <row r="252" customFormat="false" ht="42.75" hidden="false" customHeight="true" outlineLevel="0" collapsed="false">
      <c r="B252" s="616" t="s">
        <v>41</v>
      </c>
      <c r="D252" s="559" t="str">
        <f aca="false">HLOOKUP($C$1,$E$1:$X$4910,ROW(D252))</f>
        <v>The weighting of this theme depends on the ratio profit to turnover</v>
      </c>
      <c r="E252" s="614" t="s">
        <v>1713</v>
      </c>
      <c r="F252" s="556" t="s">
        <v>1714</v>
      </c>
      <c r="G252" s="563" t="s">
        <v>1715</v>
      </c>
      <c r="H252" s="556" t="s">
        <v>1716</v>
      </c>
      <c r="I252" s="556" t="str">
        <f aca="false">"[fr]"&amp;E252</f>
        <v>[fr]Die Gewichtung dieses Thema’s ist abhängig von der Relation Gewinn zu Umsatz </v>
      </c>
      <c r="J252" s="556" t="str">
        <f aca="false">"[pt]"&amp;E252</f>
        <v>[pt]Die Gewichtung dieses Thema’s ist abhängig von der Relation Gewinn zu Umsatz </v>
      </c>
      <c r="K252" s="556" t="str">
        <f aca="false">"[gr]"&amp;E252</f>
        <v>[gr]Die Gewichtung dieses Thema’s ist abhängig von der Relation Gewinn zu Umsatz </v>
      </c>
    </row>
    <row r="253" customFormat="false" ht="51" hidden="false" customHeight="true" outlineLevel="0" collapsed="false">
      <c r="B253" s="616" t="s">
        <v>44</v>
      </c>
      <c r="D253" s="559" t="str">
        <f aca="false">HLOOKUP($C$1,$E$1:$X$4910,ROW(D253))</f>
        <v>The weighting of this theme is dependent on additions to fixed-assets and financial assets in relation to the balance sheet total.</v>
      </c>
      <c r="E253" s="614" t="s">
        <v>1717</v>
      </c>
      <c r="F253" s="556" t="s">
        <v>1718</v>
      </c>
      <c r="G253" s="563" t="s">
        <v>1719</v>
      </c>
      <c r="H253" s="556" t="s">
        <v>1720</v>
      </c>
      <c r="I253" s="556" t="str">
        <f aca="false">"[fr]"&amp;E253</f>
        <v>[fr]Die Gewichtung dieses Thema’s ist abhängig  Zugängen zum Anlagevermögen und Finanzvermögen in Relation zu der Bilanzsumme</v>
      </c>
      <c r="J253" s="556" t="str">
        <f aca="false">"[pt]"&amp;E253</f>
        <v>[pt]Die Gewichtung dieses Thema’s ist abhängig  Zugängen zum Anlagevermögen und Finanzvermögen in Relation zu der Bilanzsumme</v>
      </c>
      <c r="K253" s="556" t="str">
        <f aca="false">"[gr]"&amp;E253</f>
        <v>[gr]Die Gewichtung dieses Thema’s ist abhängig  Zugängen zum Anlagevermögen und Finanzvermögen in Relation zu der Bilanzsumme</v>
      </c>
    </row>
    <row r="254" customFormat="false" ht="28.5" hidden="false" customHeight="true" outlineLevel="0" collapsed="false">
      <c r="B254" s="616" t="s">
        <v>48</v>
      </c>
      <c r="D254" s="559" t="str">
        <f aca="false">HLOOKUP($C$1,$E$1:$X$4910,ROW(D254))</f>
        <v>The weighting of this theme is dependent on the size of the company.</v>
      </c>
      <c r="E254" s="614" t="s">
        <v>1721</v>
      </c>
      <c r="F254" s="556" t="s">
        <v>1722</v>
      </c>
      <c r="G254" s="563" t="s">
        <v>1723</v>
      </c>
      <c r="H254" s="556" t="s">
        <v>1724</v>
      </c>
      <c r="I254" s="556" t="str">
        <f aca="false">"[fr]"&amp;E254</f>
        <v>[fr]Die Gewichtung dieses Thema’s ist abhängig von der Größe des Unternehmens</v>
      </c>
      <c r="J254" s="556" t="str">
        <f aca="false">"[pt]"&amp;E254</f>
        <v>[pt]Die Gewichtung dieses Thema’s ist abhängig von der Größe des Unternehmens</v>
      </c>
      <c r="K254" s="556" t="str">
        <f aca="false">"[gr]"&amp;E254</f>
        <v>[gr]Die Gewichtung dieses Thema’s ist abhängig von der Größe des Unternehmens</v>
      </c>
    </row>
    <row r="255" customFormat="false" ht="15.75" hidden="false" customHeight="true" outlineLevel="0" collapsed="false">
      <c r="B255" s="616" t="s">
        <v>52</v>
      </c>
      <c r="D255" s="559" t="str">
        <f aca="false">HLOOKUP($C$1,$E$1:$X$4910,ROW(D255))</f>
        <v>-</v>
      </c>
      <c r="E255" s="618" t="s">
        <v>164</v>
      </c>
      <c r="F255" s="619" t="s">
        <v>164</v>
      </c>
      <c r="G255" s="619" t="s">
        <v>164</v>
      </c>
      <c r="H255" s="556" t="s">
        <v>164</v>
      </c>
      <c r="I255" s="556" t="str">
        <f aca="false">"[fr]"&amp;E255</f>
        <v>[fr]-</v>
      </c>
      <c r="J255" s="556" t="str">
        <f aca="false">"[pt]"&amp;E255</f>
        <v>[pt]-</v>
      </c>
      <c r="K255" s="556" t="str">
        <f aca="false">"[gr]"&amp;E255</f>
        <v>[gr]-</v>
      </c>
    </row>
    <row r="256" customFormat="false" ht="15.75" hidden="false" customHeight="true" outlineLevel="0" collapsed="false">
      <c r="B256" s="616" t="s">
        <v>57</v>
      </c>
      <c r="D256" s="559" t="str">
        <f aca="false">HLOOKUP($C$1,$E$1:$X$4910,ROW(D256))</f>
        <v>-</v>
      </c>
      <c r="E256" s="614" t="s">
        <v>164</v>
      </c>
      <c r="F256" s="615" t="s">
        <v>164</v>
      </c>
      <c r="G256" s="615" t="s">
        <v>164</v>
      </c>
      <c r="H256" s="556" t="s">
        <v>164</v>
      </c>
      <c r="I256" s="556" t="str">
        <f aca="false">"[fr]"&amp;E256</f>
        <v>[fr]-</v>
      </c>
      <c r="J256" s="556" t="str">
        <f aca="false">"[pt]"&amp;E256</f>
        <v>[pt]-</v>
      </c>
      <c r="K256" s="556" t="str">
        <f aca="false">"[gr]"&amp;E256</f>
        <v>[gr]-</v>
      </c>
    </row>
    <row r="257" customFormat="false" ht="54.75" hidden="false" customHeight="true" outlineLevel="0" collapsed="false">
      <c r="B257" s="616" t="s">
        <v>62</v>
      </c>
      <c r="D257" s="559" t="str">
        <f aca="false">HLOOKUP($C$1,$E$1:$X$4910,ROW(D257))</f>
        <v>The weighting of this theme is dependent on the existence of a canteen for most of the employees as well as an (estimated) average commute to work. </v>
      </c>
      <c r="E257" s="614" t="s">
        <v>1725</v>
      </c>
      <c r="F257" s="556" t="s">
        <v>1726</v>
      </c>
      <c r="G257" s="563" t="s">
        <v>1727</v>
      </c>
      <c r="H257" s="556" t="s">
        <v>1728</v>
      </c>
      <c r="I257" s="556" t="str">
        <f aca="false">"[fr]"&amp;E257</f>
        <v>[fr]Die Gewichtung dieses Thema’s ist abhängig von der Existenz einer Kantine für die Mehrheit der Mitarbeiter*innen sowie dem (geschätzten) durchschnittlichen Anfahrtsweg zur Arbeit.</v>
      </c>
      <c r="J257" s="556" t="str">
        <f aca="false">"[pt]"&amp;E257</f>
        <v>[pt]Die Gewichtung dieses Thema’s ist abhängig von der Existenz einer Kantine für die Mehrheit der Mitarbeiter*innen sowie dem (geschätzten) durchschnittlichen Anfahrtsweg zur Arbeit.</v>
      </c>
      <c r="K257" s="556" t="str">
        <f aca="false">"[gr]"&amp;E257</f>
        <v>[gr]Die Gewichtung dieses Thema’s ist abhängig von der Existenz einer Kantine für die Mehrheit der Mitarbeiter*innen sowie dem (geschätzten) durchschnittlichen Anfahrtsweg zur Arbeit.</v>
      </c>
    </row>
    <row r="258" customFormat="false" ht="81.6" hidden="false" customHeight="true" outlineLevel="0" collapsed="false">
      <c r="B258" s="616" t="s">
        <v>67</v>
      </c>
      <c r="D258" s="559" t="str">
        <f aca="false">HLOOKUP($C$1,$E$1:$X$4910,ROW(D258))</f>
        <v>The weighting of this theme is dependent on company size and co-determination rights in the countries of the most important supply industries (based on the ILUC index of the International Labour Union).</v>
      </c>
      <c r="E258" s="617" t="s">
        <v>1729</v>
      </c>
      <c r="F258" s="556" t="s">
        <v>1730</v>
      </c>
      <c r="G258" s="563" t="s">
        <v>1731</v>
      </c>
      <c r="H258" s="556" t="s">
        <v>1732</v>
      </c>
      <c r="I258" s="556" t="str">
        <f aca="false">"[fr]"&amp;E258</f>
        <v>[fr]Die Gewichtung dieses Thema’s ist abhängig von der Größe des Unternehmens sowie von den Mitbestimmungsrechte in den Ländern der wichtigsten Standorte (basierend auf dem ITUC-Index der International Labour Union)</v>
      </c>
      <c r="J258" s="556" t="str">
        <f aca="false">"[pt]"&amp;E258</f>
        <v>[pt]Die Gewichtung dieses Thema’s ist abhängig von der Größe des Unternehmens sowie von den Mitbestimmungsrechte in den Ländern der wichtigsten Standorte (basierend auf dem ITUC-Index der International Labour Union)</v>
      </c>
      <c r="K258" s="556" t="str">
        <f aca="false">"[gr]"&amp;E258</f>
        <v>[gr]Die Gewichtung dieses Thema’s ist abhängig von der Größe des Unternehmens sowie von den Mitbestimmungsrechte in den Ländern der wichtigsten Standorte (basierend auf dem ITUC-Index der International Labour Union)</v>
      </c>
    </row>
    <row r="259" customFormat="false" ht="15.75" hidden="false" customHeight="true" outlineLevel="0" collapsed="false">
      <c r="B259" s="616" t="s">
        <v>73</v>
      </c>
      <c r="D259" s="559" t="str">
        <f aca="false">HLOOKUP($C$1,$E$1:$X$4910,ROW(D259))</f>
        <v>-</v>
      </c>
      <c r="E259" s="614" t="s">
        <v>164</v>
      </c>
      <c r="F259" s="614" t="s">
        <v>164</v>
      </c>
      <c r="G259" s="614" t="s">
        <v>164</v>
      </c>
      <c r="H259" s="556" t="s">
        <v>164</v>
      </c>
      <c r="I259" s="556" t="str">
        <f aca="false">"[fr]"&amp;E259</f>
        <v>[fr]-</v>
      </c>
      <c r="J259" s="556" t="str">
        <f aca="false">"[pt]"&amp;E259</f>
        <v>[pt]-</v>
      </c>
      <c r="K259" s="556" t="str">
        <f aca="false">"[gr]"&amp;E259</f>
        <v>[gr]-</v>
      </c>
    </row>
    <row r="260" customFormat="false" ht="15.75" hidden="false" customHeight="true" outlineLevel="0" collapsed="false">
      <c r="B260" s="616" t="s">
        <v>77</v>
      </c>
      <c r="D260" s="559" t="str">
        <f aca="false">HLOOKUP($C$1,$E$1:$X$4910,ROW(D260))</f>
        <v>-</v>
      </c>
      <c r="E260" s="614" t="s">
        <v>164</v>
      </c>
      <c r="F260" s="615" t="s">
        <v>164</v>
      </c>
      <c r="G260" s="615" t="s">
        <v>164</v>
      </c>
      <c r="H260" s="556" t="s">
        <v>164</v>
      </c>
      <c r="I260" s="556" t="str">
        <f aca="false">"[fr]"&amp;E260</f>
        <v>[fr]-</v>
      </c>
      <c r="J260" s="556" t="str">
        <f aca="false">"[pt]"&amp;E260</f>
        <v>[pt]-</v>
      </c>
      <c r="K260" s="556" t="str">
        <f aca="false">"[gr]"&amp;E260</f>
        <v>[gr]-</v>
      </c>
    </row>
    <row r="261" customFormat="false" ht="28.5" hidden="false" customHeight="true" outlineLevel="0" collapsed="false">
      <c r="B261" s="616" t="s">
        <v>81</v>
      </c>
      <c r="D261" s="559" t="str">
        <f aca="false">HLOOKUP($C$1,$E$1:$X$4910,ROW(D261))</f>
        <v>The weighting of this theme depends on the industry sector.</v>
      </c>
      <c r="E261" s="614" t="s">
        <v>1733</v>
      </c>
      <c r="F261" s="556" t="s">
        <v>1734</v>
      </c>
      <c r="G261" s="563" t="s">
        <v>1735</v>
      </c>
      <c r="H261" s="556" t="s">
        <v>1736</v>
      </c>
      <c r="I261" s="556" t="str">
        <f aca="false">"[fr]"&amp;E261</f>
        <v>[fr]Die Gewichtung dieses Thema’s ist abhängig von der Branche </v>
      </c>
      <c r="J261" s="556" t="str">
        <f aca="false">"[pt]"&amp;E261</f>
        <v>[pt]Die Gewichtung dieses Thema’s ist abhängig von der Branche </v>
      </c>
      <c r="K261" s="556" t="str">
        <f aca="false">"[gr]"&amp;E261</f>
        <v>[gr]Die Gewichtung dieses Thema’s ist abhängig von der Branche </v>
      </c>
    </row>
    <row r="262" customFormat="false" ht="41.85" hidden="false" customHeight="true" outlineLevel="0" collapsed="false">
      <c r="B262" s="616" t="s">
        <v>85</v>
      </c>
      <c r="D262" s="559" t="str">
        <f aca="false">HLOOKUP($C$1,$E$1:$X$4910,ROW(D262))</f>
        <v>The weighting of this theme depends on whether customers are primarily individuals or companies.</v>
      </c>
      <c r="E262" s="614" t="s">
        <v>1737</v>
      </c>
      <c r="F262" s="556" t="s">
        <v>1738</v>
      </c>
      <c r="G262" s="563" t="s">
        <v>1739</v>
      </c>
      <c r="H262" s="556" t="s">
        <v>1740</v>
      </c>
      <c r="I262" s="556" t="str">
        <f aca="false">"[fr]"&amp;E262</f>
        <v>[fr]Die Gewichtung dieses Thema’s ist abhängig davon, ob Kund*innen in erster Linie Private oder Unternehmen sind</v>
      </c>
      <c r="J262" s="556" t="str">
        <f aca="false">"[pt]"&amp;E262</f>
        <v>[pt]Die Gewichtung dieses Thema’s ist abhängig davon, ob Kund*innen in erster Linie Private oder Unternehmen sind</v>
      </c>
      <c r="K262" s="556" t="str">
        <f aca="false">"[gr]"&amp;E262</f>
        <v>[gr]Die Gewichtung dieses Thema’s ist abhängig davon, ob Kund*innen in erster Linie Private oder Unternehmen sind</v>
      </c>
    </row>
    <row r="263" customFormat="false" ht="15.75" hidden="false" customHeight="true" outlineLevel="0" collapsed="false">
      <c r="B263" s="616" t="s">
        <v>89</v>
      </c>
      <c r="D263" s="559" t="str">
        <f aca="false">HLOOKUP($C$1,$E$1:$X$4910,ROW(D263))</f>
        <v>-</v>
      </c>
      <c r="E263" s="614" t="s">
        <v>164</v>
      </c>
      <c r="F263" s="615" t="s">
        <v>164</v>
      </c>
      <c r="G263" s="615" t="s">
        <v>164</v>
      </c>
      <c r="H263" s="556" t="s">
        <v>164</v>
      </c>
      <c r="I263" s="556" t="str">
        <f aca="false">"[fr]"&amp;E263</f>
        <v>[fr]-</v>
      </c>
      <c r="J263" s="556" t="str">
        <f aca="false">"[pt]"&amp;E263</f>
        <v>[pt]-</v>
      </c>
      <c r="K263" s="556" t="str">
        <f aca="false">"[gr]"&amp;E263</f>
        <v>[gr]-</v>
      </c>
    </row>
    <row r="264" customFormat="false" ht="41.85" hidden="false" customHeight="true" outlineLevel="0" collapsed="false">
      <c r="B264" s="616" t="s">
        <v>93</v>
      </c>
      <c r="D264" s="559" t="str">
        <f aca="false">HLOOKUP($C$1,$E$1:$X$4910,ROW(D264))</f>
        <v>The weighting of this theme is dependent on the return on sales (profit/turnover).</v>
      </c>
      <c r="E264" s="614" t="s">
        <v>1741</v>
      </c>
      <c r="F264" s="556" t="s">
        <v>1742</v>
      </c>
      <c r="G264" s="563" t="s">
        <v>1743</v>
      </c>
      <c r="H264" s="556" t="s">
        <v>1744</v>
      </c>
      <c r="I264" s="556" t="str">
        <f aca="false">"[fr]"&amp;E264</f>
        <v>[fr]Die Gewichtung dieses Thema’s ist abhängig von der Umsatzrentabilität (Gewinn/Umsatz)</v>
      </c>
      <c r="J264" s="556" t="str">
        <f aca="false">"[pt]"&amp;E264</f>
        <v>[pt]Die Gewichtung dieses Thema’s ist abhängig von der Umsatzrentabilität (Gewinn/Umsatz)</v>
      </c>
      <c r="K264" s="556" t="str">
        <f aca="false">"[gr]"&amp;E264</f>
        <v>[gr]Die Gewichtung dieses Thema’s ist abhängig von der Umsatzrentabilität (Gewinn/Umsatz)</v>
      </c>
    </row>
    <row r="265" customFormat="false" ht="28.5" hidden="false" customHeight="true" outlineLevel="0" collapsed="false">
      <c r="B265" s="616" t="s">
        <v>98</v>
      </c>
      <c r="D265" s="559" t="str">
        <f aca="false">HLOOKUP($C$1,$E$1:$X$4910,ROW(D265))</f>
        <v>The weighting of this theme depends on the industry sector.</v>
      </c>
      <c r="E265" s="614" t="s">
        <v>1745</v>
      </c>
      <c r="F265" s="556" t="s">
        <v>1734</v>
      </c>
      <c r="G265" s="563" t="s">
        <v>1735</v>
      </c>
      <c r="H265" s="556" t="s">
        <v>1736</v>
      </c>
      <c r="I265" s="556" t="str">
        <f aca="false">"[fr]"&amp;E265</f>
        <v>[fr]Die Gewichtung dieses Thenma’s ist abhängig von der Branche</v>
      </c>
      <c r="J265" s="556" t="str">
        <f aca="false">"[pt]"&amp;E265</f>
        <v>[pt]Die Gewichtung dieses Thenma’s ist abhängig von der Branche</v>
      </c>
      <c r="K265" s="556" t="str">
        <f aca="false">"[gr]"&amp;E265</f>
        <v>[gr]Die Gewichtung dieses Thenma’s ist abhängig von der Branche</v>
      </c>
    </row>
    <row r="266" customFormat="false" ht="41.85" hidden="false" customHeight="true" outlineLevel="0" collapsed="false">
      <c r="B266" s="620" t="s">
        <v>102</v>
      </c>
      <c r="D266" s="559" t="str">
        <f aca="false">HLOOKUP($C$1,$E$1:$X$4910,ROW(D266))</f>
        <v>The weighting of this theme depends on the company size and the industry sector.</v>
      </c>
      <c r="E266" s="621" t="s">
        <v>1746</v>
      </c>
      <c r="F266" s="556" t="s">
        <v>1747</v>
      </c>
      <c r="G266" s="563" t="s">
        <v>1748</v>
      </c>
      <c r="H266" s="556" t="s">
        <v>1749</v>
      </c>
      <c r="I266" s="556" t="str">
        <f aca="false">"[fr]"&amp;E266</f>
        <v>[fr]Die Gewichtung dieses Thema’s ist abhängig von der Größe sowie der Branche des Unternehmens.</v>
      </c>
      <c r="J266" s="556" t="str">
        <f aca="false">"[pt]"&amp;E266</f>
        <v>[pt]Die Gewichtung dieses Thema’s ist abhängig von der Größe sowie der Branche des Unternehmens.</v>
      </c>
      <c r="K266" s="556" t="str">
        <f aca="false">"[gr]"&amp;E266</f>
        <v>[gr]Die Gewichtung dieses Thema’s ist abhängig von der Größe sowie der Branche des Unternehmens.</v>
      </c>
    </row>
    <row r="267" customFormat="false" ht="15.75" hidden="false" customHeight="true" outlineLevel="0" collapsed="false">
      <c r="D267" s="559" t="n">
        <f aca="false">HLOOKUP($C$1,$E$1:$X$4910,ROW(D267))</f>
        <v>0</v>
      </c>
      <c r="E267" s="556"/>
      <c r="G267" s="556"/>
      <c r="H267" s="556"/>
      <c r="I267" s="556" t="str">
        <f aca="false">"[fr]"&amp;E267</f>
        <v>[fr]</v>
      </c>
      <c r="J267" s="556" t="str">
        <f aca="false">"[pt]"&amp;E267</f>
        <v>[pt]</v>
      </c>
      <c r="K267" s="556" t="str">
        <f aca="false">"[gr]"&amp;E267</f>
        <v>[gr]</v>
      </c>
    </row>
    <row r="268" customFormat="false" ht="28.5" hidden="false" customHeight="true" outlineLevel="0" collapsed="false">
      <c r="D268" s="559" t="str">
        <f aca="false">HLOOKUP($C$1,$E$1:$X$4910,ROW(D268))</f>
        <v>A - agriculture, forestry management, fishing industry</v>
      </c>
      <c r="E268" s="556" t="s">
        <v>1750</v>
      </c>
      <c r="F268" s="556" t="s">
        <v>1751</v>
      </c>
      <c r="G268" s="563" t="s">
        <v>1752</v>
      </c>
      <c r="H268" s="556" t="s">
        <v>1753</v>
      </c>
      <c r="I268" s="556" t="str">
        <f aca="false">"[fr]"&amp;E268</f>
        <v>[fr]A - Landwirtschaft, Forstwirtschaft und Fischerei</v>
      </c>
      <c r="J268" s="556" t="str">
        <f aca="false">"[pt]"&amp;E268</f>
        <v>[pt]A - Landwirtschaft, Forstwirtschaft und Fischerei</v>
      </c>
      <c r="K268" s="556" t="str">
        <f aca="false">"[gr]"&amp;E268</f>
        <v>[gr]A - Landwirtschaft, Forstwirtschaft und Fischerei</v>
      </c>
    </row>
    <row r="269" customFormat="false" ht="28.5" hidden="false" customHeight="true" outlineLevel="0" collapsed="false">
      <c r="D269" s="559" t="str">
        <f aca="false">HLOOKUP($C$1,$E$1:$X$4910,ROW(D269))</f>
        <v>B - Mining and quarrying</v>
      </c>
      <c r="E269" s="556" t="s">
        <v>1754</v>
      </c>
      <c r="F269" s="556" t="s">
        <v>1755</v>
      </c>
      <c r="G269" s="563" t="s">
        <v>1756</v>
      </c>
      <c r="H269" s="556" t="s">
        <v>1757</v>
      </c>
      <c r="I269" s="556" t="str">
        <f aca="false">"[fr]"&amp;E269</f>
        <v>[fr]B - Bergbau und Gewinnung von Steinen und Erden</v>
      </c>
      <c r="J269" s="556" t="str">
        <f aca="false">"[pt]"&amp;E269</f>
        <v>[pt]B - Bergbau und Gewinnung von Steinen und Erden</v>
      </c>
      <c r="K269" s="556" t="str">
        <f aca="false">"[gr]"&amp;E269</f>
        <v>[gr]B - Bergbau und Gewinnung von Steinen und Erden</v>
      </c>
    </row>
    <row r="270" customFormat="false" ht="28.5" hidden="false" customHeight="true" outlineLevel="0" collapsed="false">
      <c r="D270" s="559" t="str">
        <f aca="false">HLOOKUP($C$1,$E$1:$X$4910,ROW(D270))</f>
        <v>C - Manufacturing industries (not further specified)</v>
      </c>
      <c r="E270" s="556" t="s">
        <v>1758</v>
      </c>
      <c r="F270" s="556" t="s">
        <v>1759</v>
      </c>
      <c r="G270" s="563" t="s">
        <v>1760</v>
      </c>
      <c r="H270" s="556" t="s">
        <v>1761</v>
      </c>
      <c r="I270" s="556" t="str">
        <f aca="false">"[fr]"&amp;E270</f>
        <v>[fr]C - Verarbeitendes Gewerbe (nicht weiter spezifiziert)</v>
      </c>
      <c r="J270" s="556" t="str">
        <f aca="false">"[pt]"&amp;E270</f>
        <v>[pt]C - Verarbeitendes Gewerbe (nicht weiter spezifiziert)</v>
      </c>
      <c r="K270" s="556" t="str">
        <f aca="false">"[gr]"&amp;E270</f>
        <v>[gr]C - Verarbeitendes Gewerbe (nicht weiter spezifiziert)</v>
      </c>
    </row>
    <row r="271" customFormat="false" ht="28.5" hidden="false" customHeight="true" outlineLevel="0" collapsed="false">
      <c r="D271" s="559" t="str">
        <f aca="false">HLOOKUP($C$1,$E$1:$X$4910,ROW(D271))</f>
        <v>Ca - Food production, drinks and tobacco (C10, C11, C12)</v>
      </c>
      <c r="E271" s="556" t="s">
        <v>1762</v>
      </c>
      <c r="F271" s="556" t="s">
        <v>1763</v>
      </c>
      <c r="G271" s="563" t="s">
        <v>1764</v>
      </c>
      <c r="H271" s="556" t="s">
        <v>1765</v>
      </c>
      <c r="I271" s="556" t="str">
        <f aca="false">"[fr]"&amp;E271</f>
        <v>[fr]Ca - Produktion von Lebensmittel, Getränken und Tabak (C10,C11,C12)</v>
      </c>
      <c r="J271" s="556" t="str">
        <f aca="false">"[pt]"&amp;E271</f>
        <v>[pt]Ca - Produktion von Lebensmittel, Getränken und Tabak (C10,C11,C12)</v>
      </c>
      <c r="K271" s="556" t="str">
        <f aca="false">"[gr]"&amp;E271</f>
        <v>[gr]Ca - Produktion von Lebensmittel, Getränken und Tabak (C10,C11,C12)</v>
      </c>
    </row>
    <row r="272" customFormat="false" ht="28.5" hidden="false" customHeight="true" outlineLevel="0" collapsed="false">
      <c r="D272" s="559" t="str">
        <f aca="false">HLOOKUP($C$1,$E$1:$X$4910,ROW(D272))</f>
        <v>Cb - Textile production, clothing, leather and leather products (C13, C14, C15)</v>
      </c>
      <c r="E272" s="556" t="s">
        <v>1766</v>
      </c>
      <c r="F272" s="556" t="s">
        <v>1767</v>
      </c>
      <c r="G272" s="563" t="s">
        <v>1768</v>
      </c>
      <c r="H272" s="556" t="s">
        <v>1769</v>
      </c>
      <c r="I272" s="556" t="str">
        <f aca="false">"[fr]"&amp;E272</f>
        <v>[fr]Cb - Produktion von Textilien, Kleidung, Leder und Produkten hieraus (C13,C14,C15)</v>
      </c>
      <c r="J272" s="556" t="str">
        <f aca="false">"[pt]"&amp;E272</f>
        <v>[pt]Cb - Produktion von Textilien, Kleidung, Leder und Produkten hieraus (C13,C14,C15)</v>
      </c>
      <c r="K272" s="556" t="str">
        <f aca="false">"[gr]"&amp;E272</f>
        <v>[gr]Cb - Produktion von Textilien, Kleidung, Leder und Produkten hieraus (C13,C14,C15)</v>
      </c>
    </row>
    <row r="273" customFormat="false" ht="41.85" hidden="false" customHeight="true" outlineLevel="0" collapsed="false">
      <c r="D273" s="559" t="str">
        <f aca="false">HLOOKUP($C$1,$E$1:$X$4910,ROW(D273))</f>
        <v>Cc - Paper and forest products, also printed matter (C16, C17, C18)</v>
      </c>
      <c r="E273" s="556" t="s">
        <v>1770</v>
      </c>
      <c r="F273" s="556" t="s">
        <v>1771</v>
      </c>
      <c r="G273" s="563" t="s">
        <v>1772</v>
      </c>
      <c r="H273" s="556" t="s">
        <v>1773</v>
      </c>
      <c r="I273" s="556" t="str">
        <f aca="false">"[fr]"&amp;E273</f>
        <v>[fr]Cc - Produktion von Holz- und Papierprodukten sowie Drucksorten (C16,C17,C18)</v>
      </c>
      <c r="J273" s="556" t="str">
        <f aca="false">"[pt]"&amp;E273</f>
        <v>[pt]Cc - Produktion von Holz- und Papierprodukten sowie Drucksorten (C16,C17,C18)</v>
      </c>
      <c r="K273" s="556" t="str">
        <f aca="false">"[gr]"&amp;E273</f>
        <v>[gr]Cc - Produktion von Holz- und Papierprodukten sowie Drucksorten (C16,C17,C18)</v>
      </c>
    </row>
    <row r="274" customFormat="false" ht="41.85" hidden="false" customHeight="true" outlineLevel="0" collapsed="false">
      <c r="D274" s="559" t="str">
        <f aca="false">HLOOKUP($C$1,$E$1:$X$4910,ROW(D274))</f>
        <v>Cd - Production of petrochemical products and plastics (C19, C20;C22)</v>
      </c>
      <c r="E274" s="556" t="s">
        <v>1774</v>
      </c>
      <c r="F274" s="556" t="s">
        <v>1775</v>
      </c>
      <c r="G274" s="563" t="s">
        <v>1776</v>
      </c>
      <c r="H274" s="556" t="s">
        <v>1777</v>
      </c>
      <c r="I274" s="556" t="str">
        <f aca="false">"[fr]"&amp;E274</f>
        <v>[fr]Cd - Produktion von petrochemischen Produkte und Kunststoffen (C19, C20;C22)</v>
      </c>
      <c r="J274" s="556" t="str">
        <f aca="false">"[pt]"&amp;E274</f>
        <v>[pt]Cd - Produktion von petrochemischen Produkte und Kunststoffen (C19, C20;C22)</v>
      </c>
      <c r="K274" s="556" t="str">
        <f aca="false">"[gr]"&amp;E274</f>
        <v>[gr]Cd - Produktion von petrochemischen Produkte und Kunststoffen (C19, C20;C22)</v>
      </c>
    </row>
    <row r="275" customFormat="false" ht="28.5" hidden="false" customHeight="true" outlineLevel="0" collapsed="false">
      <c r="D275" s="559" t="str">
        <f aca="false">HLOOKUP($C$1,$E$1:$X$4910,ROW(D275))</f>
        <v>Ce - Pharmaceutical products and preparations (C21)</v>
      </c>
      <c r="E275" s="556" t="s">
        <v>1778</v>
      </c>
      <c r="F275" s="556" t="s">
        <v>1779</v>
      </c>
      <c r="G275" s="563" t="s">
        <v>1780</v>
      </c>
      <c r="H275" s="556" t="s">
        <v>1781</v>
      </c>
      <c r="I275" s="556" t="str">
        <f aca="false">"[fr]"&amp;E275</f>
        <v>[fr]Ce - Produktion von pharmazeutischen Produktion und Präparaten (C21)</v>
      </c>
      <c r="J275" s="556" t="str">
        <f aca="false">"[pt]"&amp;E275</f>
        <v>[pt]Ce - Produktion von pharmazeutischen Produktion und Präparaten (C21)</v>
      </c>
      <c r="K275" s="556" t="str">
        <f aca="false">"[gr]"&amp;E275</f>
        <v>[gr]Ce - Produktion von pharmazeutischen Produktion und Präparaten (C21)</v>
      </c>
    </row>
    <row r="276" customFormat="false" ht="28.5" hidden="false" customHeight="true" outlineLevel="0" collapsed="false">
      <c r="D276" s="559" t="str">
        <f aca="false">HLOOKUP($C$1,$E$1:$X$4910,ROW(D276))</f>
        <v>Cf - Production of non-metallic minerals (C23)</v>
      </c>
      <c r="E276" s="556" t="s">
        <v>1782</v>
      </c>
      <c r="F276" s="556" t="s">
        <v>1783</v>
      </c>
      <c r="G276" s="563" t="s">
        <v>1784</v>
      </c>
      <c r="H276" s="556" t="s">
        <v>1785</v>
      </c>
      <c r="I276" s="556" t="str">
        <f aca="false">"[fr]"&amp;E276</f>
        <v>[fr]Cf - Produktion nicht metallischer Mineralstoffe (C23)</v>
      </c>
      <c r="J276" s="556" t="str">
        <f aca="false">"[pt]"&amp;E276</f>
        <v>[pt]Cf - Produktion nicht metallischer Mineralstoffe (C23)</v>
      </c>
      <c r="K276" s="556" t="str">
        <f aca="false">"[gr]"&amp;E276</f>
        <v>[gr]Cf - Produktion nicht metallischer Mineralstoffe (C23)</v>
      </c>
    </row>
    <row r="277" customFormat="false" ht="54.75" hidden="false" customHeight="true" outlineLevel="0" collapsed="false">
      <c r="D277" s="559" t="str">
        <f aca="false">HLOOKUP($C$1,$E$1:$X$4910,ROW(D277))</f>
        <v>Cg - Production of metal and metallic products (excl. machines and equipment) (C24, C25)</v>
      </c>
      <c r="E277" s="556" t="s">
        <v>1786</v>
      </c>
      <c r="F277" s="556" t="s">
        <v>1787</v>
      </c>
      <c r="G277" s="563" t="s">
        <v>1788</v>
      </c>
      <c r="H277" s="556" t="s">
        <v>1789</v>
      </c>
      <c r="I277" s="556" t="str">
        <f aca="false">"[fr]"&amp;E277</f>
        <v>[fr]Cg - Produktion von Metallen und metallischen Produkten (exkl. Maschinen und Geräten) (C24,C25)</v>
      </c>
      <c r="J277" s="556" t="str">
        <f aca="false">"[pt]"&amp;E277</f>
        <v>[pt]Cg - Produktion von Metallen und metallischen Produkten (exkl. Maschinen und Geräten) (C24,C25)</v>
      </c>
      <c r="K277" s="556" t="str">
        <f aca="false">"[gr]"&amp;E277</f>
        <v>[gr]Cg - Produktion von Metallen und metallischen Produkten (exkl. Maschinen und Geräten) (C24,C25)</v>
      </c>
    </row>
    <row r="278" customFormat="false" ht="54.75" hidden="false" customHeight="true" outlineLevel="0" collapsed="false">
      <c r="D278" s="559" t="str">
        <f aca="false">HLOOKUP($C$1,$E$1:$X$4910,ROW(D278))</f>
        <v>Ch - Production of electronic equipment, instruments and components as well as computers (C26, C27, C28)</v>
      </c>
      <c r="E278" s="556" t="s">
        <v>1790</v>
      </c>
      <c r="F278" s="556" t="s">
        <v>1791</v>
      </c>
      <c r="G278" s="563" t="s">
        <v>1792</v>
      </c>
      <c r="H278" s="556" t="s">
        <v>1793</v>
      </c>
      <c r="I278" s="556" t="str">
        <f aca="false">"[fr]"&amp;E278</f>
        <v>[fr]Ch - Produktion von elektronischen, optischen und sonstigen Geräten und Bauteilen sowie Computer (C26,C27,C28)</v>
      </c>
      <c r="J278" s="556" t="str">
        <f aca="false">"[pt]"&amp;E278</f>
        <v>[pt]Ch - Produktion von elektronischen, optischen und sonstigen Geräten und Bauteilen sowie Computer (C26,C27,C28)</v>
      </c>
      <c r="K278" s="556" t="str">
        <f aca="false">"[gr]"&amp;E278</f>
        <v>[gr]Ch - Produktion von elektronischen, optischen und sonstigen Geräten und Bauteilen sowie Computer (C26,C27,C28)</v>
      </c>
    </row>
    <row r="279" customFormat="false" ht="28.5" hidden="false" customHeight="true" outlineLevel="0" collapsed="false">
      <c r="D279" s="559" t="str">
        <f aca="false">HLOOKUP($C$1,$E$1:$X$4910,ROW(D279))</f>
        <v>D - Electric, Gas, Steam and Refrigeration</v>
      </c>
      <c r="E279" s="556" t="s">
        <v>1794</v>
      </c>
      <c r="F279" s="556" t="s">
        <v>1795</v>
      </c>
      <c r="G279" s="563" t="s">
        <v>1796</v>
      </c>
      <c r="H279" s="556" t="s">
        <v>1797</v>
      </c>
      <c r="I279" s="556" t="str">
        <f aca="false">"[fr]"&amp;E279</f>
        <v>[fr]D - Strom-, Gas-, Dampfversorgung und Kühlung </v>
      </c>
      <c r="J279" s="556" t="str">
        <f aca="false">"[pt]"&amp;E279</f>
        <v>[pt]D - Strom-, Gas-, Dampfversorgung und Kühlung </v>
      </c>
      <c r="K279" s="556" t="str">
        <f aca="false">"[gr]"&amp;E279</f>
        <v>[gr]D - Strom-, Gas-, Dampfversorgung und Kühlung </v>
      </c>
    </row>
    <row r="280" customFormat="false" ht="28.5" hidden="false" customHeight="true" outlineLevel="0" collapsed="false">
      <c r="D280" s="559" t="str">
        <f aca="false">HLOOKUP($C$1,$E$1:$X$4910,ROW(D280))</f>
        <v>E - Water supply, waste management</v>
      </c>
      <c r="E280" s="556" t="s">
        <v>1798</v>
      </c>
      <c r="F280" s="556" t="s">
        <v>1799</v>
      </c>
      <c r="G280" s="563" t="s">
        <v>1800</v>
      </c>
      <c r="H280" s="556" t="s">
        <v>1801</v>
      </c>
      <c r="I280" s="556" t="str">
        <f aca="false">"[fr]"&amp;E280</f>
        <v>[fr]E - Wasserversorgung, Abfallwirtschaft</v>
      </c>
      <c r="J280" s="556" t="str">
        <f aca="false">"[pt]"&amp;E280</f>
        <v>[pt]E - Wasserversorgung, Abfallwirtschaft</v>
      </c>
      <c r="K280" s="556" t="str">
        <f aca="false">"[gr]"&amp;E280</f>
        <v>[gr]E - Wasserversorgung, Abfallwirtschaft</v>
      </c>
    </row>
    <row r="281" customFormat="false" ht="15.75" hidden="false" customHeight="true" outlineLevel="0" collapsed="false">
      <c r="D281" s="559" t="str">
        <f aca="false">HLOOKUP($C$1,$E$1:$X$4910,ROW(D281))</f>
        <v>F - Construction industry</v>
      </c>
      <c r="E281" s="556" t="s">
        <v>1802</v>
      </c>
      <c r="F281" s="556" t="s">
        <v>1803</v>
      </c>
      <c r="G281" s="563" t="s">
        <v>1804</v>
      </c>
      <c r="H281" s="556" t="s">
        <v>1805</v>
      </c>
      <c r="I281" s="556" t="str">
        <f aca="false">"[fr]"&amp;E281</f>
        <v>[fr]F - Baugewerbe</v>
      </c>
      <c r="J281" s="556" t="str">
        <f aca="false">"[pt]"&amp;E281</f>
        <v>[pt]F - Baugewerbe</v>
      </c>
      <c r="K281" s="556" t="str">
        <f aca="false">"[gr]"&amp;E281</f>
        <v>[gr]F - Baugewerbe</v>
      </c>
    </row>
    <row r="282" customFormat="false" ht="41.85" hidden="false" customHeight="true" outlineLevel="0" collapsed="false">
      <c r="D282" s="559" t="str">
        <f aca="false">HLOOKUP($C$1,$E$1:$X$4910,ROW(D282))</f>
        <v>G - Wholesale and retail</v>
      </c>
      <c r="E282" s="562" t="s">
        <v>1806</v>
      </c>
      <c r="F282" s="556" t="s">
        <v>1807</v>
      </c>
      <c r="G282" s="563" t="s">
        <v>1808</v>
      </c>
      <c r="H282" s="556" t="s">
        <v>1809</v>
      </c>
      <c r="I282" s="556" t="str">
        <f aca="false">"[fr]"&amp;E282</f>
        <v>[fr]G - Groß- und Einzelhandel sowie Werkstätten für Kraftfahrzeuge (Anmerkung: Groß- und Einzelhandel nicht auf KFZ beschränkt)</v>
      </c>
      <c r="J282" s="556" t="str">
        <f aca="false">"[pt]"&amp;E282</f>
        <v>[pt]G - Groß- und Einzelhandel sowie Werkstätten für Kraftfahrzeuge (Anmerkung: Groß- und Einzelhandel nicht auf KFZ beschränkt)</v>
      </c>
      <c r="K282" s="556" t="str">
        <f aca="false">"[gr]"&amp;E282</f>
        <v>[gr]G - Groß- und Einzelhandel sowie Werkstätten für Kraftfahrzeuge (Anmerkung: Groß- und Einzelhandel nicht auf KFZ beschränkt)</v>
      </c>
    </row>
    <row r="283" customFormat="false" ht="15.75" hidden="false" customHeight="true" outlineLevel="0" collapsed="false">
      <c r="D283" s="559" t="str">
        <f aca="false">HLOOKUP($C$1,$E$1:$X$4910,ROW(D283))</f>
        <v>H - Transport and warehousing</v>
      </c>
      <c r="E283" s="556" t="s">
        <v>1810</v>
      </c>
      <c r="F283" s="556" t="s">
        <v>1811</v>
      </c>
      <c r="G283" s="563" t="s">
        <v>1812</v>
      </c>
      <c r="H283" s="556" t="s">
        <v>1813</v>
      </c>
      <c r="I283" s="556" t="str">
        <f aca="false">"[fr]"&amp;E283</f>
        <v>[fr]H - Verkehr und Lagerhaltung</v>
      </c>
      <c r="J283" s="556" t="str">
        <f aca="false">"[pt]"&amp;E283</f>
        <v>[pt]H - Verkehr und Lagerhaltung</v>
      </c>
      <c r="K283" s="556" t="str">
        <f aca="false">"[gr]"&amp;E283</f>
        <v>[gr]H - Verkehr und Lagerhaltung</v>
      </c>
    </row>
    <row r="284" customFormat="false" ht="15.75" hidden="false" customHeight="true" outlineLevel="0" collapsed="false">
      <c r="D284" s="559" t="str">
        <f aca="false">HLOOKUP($C$1,$E$1:$X$4910,ROW(D284))</f>
        <v>I - Accommodation and catering</v>
      </c>
      <c r="E284" s="556" t="s">
        <v>1814</v>
      </c>
      <c r="F284" s="556" t="s">
        <v>1815</v>
      </c>
      <c r="G284" s="563" t="s">
        <v>1816</v>
      </c>
      <c r="H284" s="556" t="s">
        <v>1817</v>
      </c>
      <c r="I284" s="556" t="str">
        <f aca="false">"[fr]"&amp;E284</f>
        <v>[fr]I - Beherbergung und Gastronomie</v>
      </c>
      <c r="J284" s="556" t="str">
        <f aca="false">"[pt]"&amp;E284</f>
        <v>[pt]I - Beherbergung und Gastronomie</v>
      </c>
      <c r="K284" s="556" t="str">
        <f aca="false">"[gr]"&amp;E284</f>
        <v>[gr]I - Beherbergung und Gastronomie</v>
      </c>
    </row>
    <row r="285" customFormat="false" ht="15.75" hidden="false" customHeight="true" outlineLevel="0" collapsed="false">
      <c r="D285" s="559" t="str">
        <f aca="false">HLOOKUP($C$1,$E$1:$X$4910,ROW(D285))</f>
        <v>J - Information and Communication</v>
      </c>
      <c r="E285" s="556" t="s">
        <v>1818</v>
      </c>
      <c r="F285" s="556" t="s">
        <v>1819</v>
      </c>
      <c r="G285" s="563" t="s">
        <v>1820</v>
      </c>
      <c r="H285" s="556" t="s">
        <v>1821</v>
      </c>
      <c r="I285" s="556" t="str">
        <f aca="false">"[fr]"&amp;E285</f>
        <v>[fr]J - Information und Kommunikation</v>
      </c>
      <c r="J285" s="556" t="str">
        <f aca="false">"[pt]"&amp;E285</f>
        <v>[pt]J - Information und Kommunikation</v>
      </c>
      <c r="K285" s="556" t="str">
        <f aca="false">"[gr]"&amp;E285</f>
        <v>[gr]J - Information und Kommunikation</v>
      </c>
    </row>
    <row r="286" customFormat="false" ht="15.75" hidden="false" customHeight="true" outlineLevel="0" collapsed="false">
      <c r="D286" s="559" t="str">
        <f aca="false">HLOOKUP($C$1,$E$1:$X$4910,ROW(D286))</f>
        <v>K - Financial services</v>
      </c>
      <c r="E286" s="556" t="s">
        <v>1822</v>
      </c>
      <c r="F286" s="556" t="s">
        <v>1823</v>
      </c>
      <c r="G286" s="563" t="s">
        <v>1824</v>
      </c>
      <c r="H286" s="556" t="s">
        <v>1825</v>
      </c>
      <c r="I286" s="556" t="str">
        <f aca="false">"[fr]"&amp;E286</f>
        <v>[fr]K - Kredit- und Finanzwesen</v>
      </c>
      <c r="J286" s="556" t="str">
        <f aca="false">"[pt]"&amp;E286</f>
        <v>[pt]K - Kredit- und Finanzwesen</v>
      </c>
      <c r="K286" s="556" t="str">
        <f aca="false">"[gr]"&amp;E286</f>
        <v>[gr]K - Kredit- und Finanzwesen</v>
      </c>
    </row>
    <row r="287" customFormat="false" ht="15.75" hidden="false" customHeight="true" outlineLevel="0" collapsed="false">
      <c r="D287" s="559" t="str">
        <f aca="false">HLOOKUP($C$1,$E$1:$X$4910,ROW(D287))</f>
        <v>L - Real estate</v>
      </c>
      <c r="E287" s="556" t="s">
        <v>1826</v>
      </c>
      <c r="F287" s="556" t="s">
        <v>1827</v>
      </c>
      <c r="G287" s="563" t="s">
        <v>1828</v>
      </c>
      <c r="H287" s="556" t="s">
        <v>1829</v>
      </c>
      <c r="I287" s="556" t="str">
        <f aca="false">"[fr]"&amp;E287</f>
        <v>[fr]L - (Immobilienwirtschaft</v>
      </c>
      <c r="J287" s="556" t="str">
        <f aca="false">"[pt]"&amp;E287</f>
        <v>[pt]L - (Immobilienwirtschaft</v>
      </c>
      <c r="K287" s="556" t="str">
        <f aca="false">"[gr]"&amp;E287</f>
        <v>[gr]L - (Immobilienwirtschaft</v>
      </c>
    </row>
    <row r="288" customFormat="false" ht="28.5" hidden="false" customHeight="true" outlineLevel="0" collapsed="false">
      <c r="D288" s="559" t="str">
        <f aca="false">HLOOKUP($C$1,$E$1:$X$4910,ROW(D288))</f>
        <v>M - Professional, technical and scientific services</v>
      </c>
      <c r="E288" s="556" t="s">
        <v>1830</v>
      </c>
      <c r="F288" s="556" t="s">
        <v>1831</v>
      </c>
      <c r="G288" s="563" t="s">
        <v>1832</v>
      </c>
      <c r="H288" s="556" t="s">
        <v>1833</v>
      </c>
      <c r="I288" s="556" t="str">
        <f aca="false">"[fr]"&amp;E288</f>
        <v>[fr]M - Freiberufliche, wissenschaftliche und technische Dienstleistungen</v>
      </c>
      <c r="J288" s="556" t="str">
        <f aca="false">"[pt]"&amp;E288</f>
        <v>[pt]M - Freiberufliche, wissenschaftliche und technische Dienstleistungen</v>
      </c>
      <c r="K288" s="556" t="str">
        <f aca="false">"[gr]"&amp;E288</f>
        <v>[gr]M - Freiberufliche, wissenschaftliche und technische Dienstleistungen</v>
      </c>
    </row>
    <row r="289" customFormat="false" ht="28.5" hidden="false" customHeight="true" outlineLevel="0" collapsed="false">
      <c r="D289" s="559" t="str">
        <f aca="false">HLOOKUP($C$1,$E$1:$X$4910,ROW(D289))</f>
        <v>N - Administrative and support services</v>
      </c>
      <c r="E289" s="556" t="s">
        <v>1834</v>
      </c>
      <c r="F289" s="556" t="s">
        <v>1835</v>
      </c>
      <c r="G289" s="563" t="s">
        <v>1836</v>
      </c>
      <c r="H289" s="556" t="s">
        <v>1837</v>
      </c>
      <c r="I289" s="556" t="str">
        <f aca="false">"[fr]"&amp;E289</f>
        <v>[fr]N - Administrative und unterstützende Dienstleistungen</v>
      </c>
      <c r="J289" s="556" t="str">
        <f aca="false">"[pt]"&amp;E289</f>
        <v>[pt]N - Administrative und unterstützende Dienstleistungen</v>
      </c>
      <c r="K289" s="556" t="str">
        <f aca="false">"[gr]"&amp;E289</f>
        <v>[gr]N - Administrative und unterstützende Dienstleistungen</v>
      </c>
    </row>
    <row r="290" customFormat="false" ht="28.5" hidden="false" customHeight="true" outlineLevel="0" collapsed="false">
      <c r="D290" s="559" t="str">
        <f aca="false">HLOOKUP($C$1,$E$1:$X$4910,ROW(D290))</f>
        <v>O - Public administration; defence; social security</v>
      </c>
      <c r="E290" s="556" t="s">
        <v>1838</v>
      </c>
      <c r="F290" s="556" t="s">
        <v>1839</v>
      </c>
      <c r="G290" s="563" t="s">
        <v>1840</v>
      </c>
      <c r="H290" s="556" t="s">
        <v>1841</v>
      </c>
      <c r="I290" s="556" t="str">
        <f aca="false">"[fr]"&amp;E290</f>
        <v>[fr]O - Öffentliche Verwaltung; Verteidigung; Sozialversicherungswesen</v>
      </c>
      <c r="J290" s="556" t="str">
        <f aca="false">"[pt]"&amp;E290</f>
        <v>[pt]O - Öffentliche Verwaltung; Verteidigung; Sozialversicherungswesen</v>
      </c>
      <c r="K290" s="556" t="str">
        <f aca="false">"[gr]"&amp;E290</f>
        <v>[gr]O - Öffentliche Verwaltung; Verteidigung; Sozialversicherungswesen</v>
      </c>
    </row>
    <row r="291" customFormat="false" ht="15.75" hidden="false" customHeight="true" outlineLevel="0" collapsed="false">
      <c r="D291" s="559" t="str">
        <f aca="false">HLOOKUP($C$1,$E$1:$X$4910,ROW(D291))</f>
        <v>P - Education</v>
      </c>
      <c r="E291" s="556" t="s">
        <v>1842</v>
      </c>
      <c r="F291" s="556" t="s">
        <v>1843</v>
      </c>
      <c r="G291" s="563" t="s">
        <v>1844</v>
      </c>
      <c r="H291" s="556" t="s">
        <v>1845</v>
      </c>
      <c r="I291" s="556" t="str">
        <f aca="false">"[fr]"&amp;E291</f>
        <v>[fr]P - Bildung</v>
      </c>
      <c r="J291" s="556" t="str">
        <f aca="false">"[pt]"&amp;E291</f>
        <v>[pt]P - Bildung</v>
      </c>
      <c r="K291" s="556" t="str">
        <f aca="false">"[gr]"&amp;E291</f>
        <v>[gr]P - Bildung</v>
      </c>
    </row>
    <row r="292" customFormat="false" ht="28.5" hidden="false" customHeight="true" outlineLevel="0" collapsed="false">
      <c r="D292" s="559" t="str">
        <f aca="false">HLOOKUP($C$1,$E$1:$X$4910,ROW(D292))</f>
        <v>Q - Health and social work</v>
      </c>
      <c r="E292" s="556" t="s">
        <v>1846</v>
      </c>
      <c r="F292" s="556" t="s">
        <v>1847</v>
      </c>
      <c r="G292" s="563" t="s">
        <v>1848</v>
      </c>
      <c r="H292" s="556" t="s">
        <v>1849</v>
      </c>
      <c r="I292" s="556" t="str">
        <f aca="false">"[fr]"&amp;E292</f>
        <v>[fr]Q - Gesundheit und Sozialarbeit</v>
      </c>
      <c r="J292" s="556" t="str">
        <f aca="false">"[pt]"&amp;E292</f>
        <v>[pt]Q - Gesundheit und Sozialarbeit</v>
      </c>
      <c r="K292" s="556" t="str">
        <f aca="false">"[gr]"&amp;E292</f>
        <v>[gr]Q - Gesundheit und Sozialarbeit</v>
      </c>
    </row>
    <row r="293" customFormat="false" ht="28.5" hidden="false" customHeight="true" outlineLevel="0" collapsed="false">
      <c r="D293" s="559" t="str">
        <f aca="false">HLOOKUP($C$1,$E$1:$X$4910,ROW(D293))</f>
        <v>R - Art, education and leisure</v>
      </c>
      <c r="E293" s="556" t="s">
        <v>1850</v>
      </c>
      <c r="F293" s="556" t="s">
        <v>1851</v>
      </c>
      <c r="G293" s="563" t="s">
        <v>1852</v>
      </c>
      <c r="H293" s="556" t="s">
        <v>1853</v>
      </c>
      <c r="I293" s="556" t="str">
        <f aca="false">"[fr]"&amp;E293</f>
        <v>[fr]R - Kunst, Unterhaltung und Erholung</v>
      </c>
      <c r="J293" s="556" t="str">
        <f aca="false">"[pt]"&amp;E293</f>
        <v>[pt]R - Kunst, Unterhaltung und Erholung</v>
      </c>
      <c r="K293" s="556" t="str">
        <f aca="false">"[gr]"&amp;E293</f>
        <v>[gr]R - Kunst, Unterhaltung und Erholung</v>
      </c>
    </row>
    <row r="294" customFormat="false" ht="15.75" hidden="false" customHeight="true" outlineLevel="0" collapsed="false">
      <c r="D294" s="559" t="str">
        <f aca="false">HLOOKUP($C$1,$E$1:$X$4910,ROW(D294))</f>
        <v>S - Other services</v>
      </c>
      <c r="E294" s="556" t="s">
        <v>1854</v>
      </c>
      <c r="F294" s="556" t="s">
        <v>1855</v>
      </c>
      <c r="G294" s="563" t="s">
        <v>1856</v>
      </c>
      <c r="H294" s="556" t="s">
        <v>1857</v>
      </c>
      <c r="I294" s="556" t="str">
        <f aca="false">"[fr]"&amp;E294</f>
        <v>[fr]S - Andere Dienstleistungen</v>
      </c>
      <c r="J294" s="556" t="str">
        <f aca="false">"[pt]"&amp;E294</f>
        <v>[pt]S - Andere Dienstleistungen</v>
      </c>
      <c r="K294" s="556" t="str">
        <f aca="false">"[gr]"&amp;E294</f>
        <v>[gr]S - Andere Dienstleistungen</v>
      </c>
    </row>
    <row r="295" customFormat="false" ht="54.75" hidden="false" customHeight="true" outlineLevel="0" collapsed="false">
      <c r="A295" s="622"/>
      <c r="B295" s="622"/>
      <c r="C295" s="622"/>
      <c r="D295" s="559" t="str">
        <f aca="false">HLOOKUP($C$1,$E$1:$X$4910,ROW(D295))</f>
        <v>Please enter</v>
      </c>
      <c r="E295" s="562" t="s">
        <v>1858</v>
      </c>
      <c r="F295" s="556" t="s">
        <v>1859</v>
      </c>
      <c r="G295" s="563" t="s">
        <v>1536</v>
      </c>
      <c r="H295" s="556" t="s">
        <v>1860</v>
      </c>
      <c r="I295" s="556" t="str">
        <f aca="false">"[fr]"&amp;E295</f>
        <v>[fr]T - Private Haushalte</v>
      </c>
      <c r="J295" s="556" t="str">
        <f aca="false">"[pt]"&amp;E295</f>
        <v>[pt]T - Private Haushalte</v>
      </c>
      <c r="K295" s="556" t="str">
        <f aca="false">"[gr]"&amp;E295</f>
        <v>[gr]T - Private Haushalte</v>
      </c>
    </row>
    <row r="296" customFormat="false" ht="28.5" hidden="false" customHeight="true" outlineLevel="0" collapsed="false">
      <c r="D296" s="559" t="str">
        <f aca="false">HLOOKUP($C$1,$E$1:$X$4910,ROW(D296))</f>
        <v>U - Extraterritorial organisations and bodies</v>
      </c>
      <c r="E296" s="556" t="s">
        <v>1861</v>
      </c>
      <c r="F296" s="556" t="s">
        <v>1862</v>
      </c>
      <c r="G296" s="563" t="s">
        <v>1863</v>
      </c>
      <c r="H296" s="556" t="s">
        <v>1864</v>
      </c>
      <c r="I296" s="556" t="str">
        <f aca="false">"[fr]"&amp;E296</f>
        <v>[fr]U - Exterritoriale Organisationen und Körperschaften</v>
      </c>
      <c r="J296" s="556" t="str">
        <f aca="false">"[pt]"&amp;E296</f>
        <v>[pt]U - Exterritoriale Organisationen und Körperschaften</v>
      </c>
      <c r="K296" s="556" t="str">
        <f aca="false">"[gr]"&amp;E296</f>
        <v>[gr]U - Exterritoriale Organisationen und Körperschaften</v>
      </c>
    </row>
    <row r="297" customFormat="false" ht="15.75" hidden="false" customHeight="true" outlineLevel="0" collapsed="false">
      <c r="D297" s="559" t="str">
        <f aca="false">HLOOKUP($C$1,$E$1:$X$4910,ROW(D297))</f>
        <v>Total purchases from suppliers (in Euros):</v>
      </c>
      <c r="E297" s="556" t="s">
        <v>1865</v>
      </c>
      <c r="F297" s="556" t="s">
        <v>1866</v>
      </c>
      <c r="G297" s="563" t="s">
        <v>1867</v>
      </c>
      <c r="H297" s="556" t="s">
        <v>1868</v>
      </c>
      <c r="I297" s="556" t="str">
        <f aca="false">"[fr]"&amp;E297</f>
        <v>[fr]Gesamt-Ausgaben an Lieferanten (in Euro):</v>
      </c>
      <c r="J297" s="556" t="str">
        <f aca="false">"[pt]"&amp;E297</f>
        <v>[pt]Gesamt-Ausgaben an Lieferanten (in Euro):</v>
      </c>
      <c r="K297" s="556" t="str">
        <f aca="false">"[gr]"&amp;E297</f>
        <v>[gr]Gesamt-Ausgaben an Lieferanten (in Euro):</v>
      </c>
    </row>
    <row r="298" customFormat="false" ht="41.85" hidden="false" customHeight="true" outlineLevel="0" collapsed="false">
      <c r="D298" s="559" t="str">
        <f aca="false">HLOOKUP($C$1,$E$1:$X$4910,ROW(D298))</f>
        <v>Enter the 5 most important industry sectors whose products or services you use.</v>
      </c>
      <c r="E298" s="556" t="s">
        <v>1869</v>
      </c>
      <c r="F298" s="556" t="s">
        <v>1870</v>
      </c>
      <c r="G298" s="563" t="s">
        <v>1871</v>
      </c>
      <c r="H298" s="556" t="s">
        <v>1872</v>
      </c>
      <c r="I298" s="556" t="str">
        <f aca="false">"[fr]"&amp;E298</f>
        <v>[fr]Tragen Sie nachstehend, bitte die 5 wichtigstenBranchen ein, aus denen Sie Produkte/Dienstleistungen beziehen. </v>
      </c>
      <c r="J298" s="556" t="str">
        <f aca="false">"[pt]"&amp;E298</f>
        <v>[pt]Tragen Sie nachstehend, bitte die 5 wichtigstenBranchen ein, aus denen Sie Produkte/Dienstleistungen beziehen. </v>
      </c>
      <c r="K298" s="556" t="str">
        <f aca="false">"[gr]"&amp;E298</f>
        <v>[gr]Tragen Sie nachstehend, bitte die 5 wichtigstenBranchen ein, aus denen Sie Produkte/Dienstleistungen beziehen. </v>
      </c>
    </row>
    <row r="299" customFormat="false" ht="15.75" hidden="false" customHeight="true" outlineLevel="0" collapsed="false">
      <c r="D299" s="559" t="str">
        <f aca="false">HLOOKUP($C$1,$E$1:$X$4910,ROW(D299))</f>
        <v>Industry sector</v>
      </c>
      <c r="E299" s="556" t="s">
        <v>1873</v>
      </c>
      <c r="F299" s="556" t="s">
        <v>1874</v>
      </c>
      <c r="G299" s="563" t="s">
        <v>1875</v>
      </c>
      <c r="H299" s="556" t="s">
        <v>1876</v>
      </c>
      <c r="I299" s="556" t="str">
        <f aca="false">"[fr]"&amp;E299</f>
        <v>[fr]Branche</v>
      </c>
      <c r="J299" s="556" t="str">
        <f aca="false">"[pt]"&amp;E299</f>
        <v>[pt]Branche</v>
      </c>
      <c r="K299" s="556" t="str">
        <f aca="false">"[gr]"&amp;E299</f>
        <v>[gr]Branche</v>
      </c>
    </row>
    <row r="300" customFormat="false" ht="15.75" hidden="false" customHeight="true" outlineLevel="0" collapsed="false">
      <c r="D300" s="559" t="str">
        <f aca="false">HLOOKUP($C$1,$E$1:$X$4910,ROW(D300))</f>
        <v>Description</v>
      </c>
      <c r="E300" s="556" t="s">
        <v>1877</v>
      </c>
      <c r="F300" s="556" t="s">
        <v>1080</v>
      </c>
      <c r="G300" s="563" t="s">
        <v>1878</v>
      </c>
      <c r="H300" s="556" t="s">
        <v>1879</v>
      </c>
      <c r="I300" s="556" t="str">
        <f aca="false">"[fr]"&amp;E300</f>
        <v>[fr]Beschreibung</v>
      </c>
      <c r="J300" s="556" t="str">
        <f aca="false">"[pt]"&amp;E300</f>
        <v>[pt]Beschreibung</v>
      </c>
      <c r="K300" s="556" t="str">
        <f aca="false">"[gr]"&amp;E300</f>
        <v>[gr]Beschreibung</v>
      </c>
    </row>
    <row r="301" customFormat="false" ht="15.75" hidden="false" customHeight="true" outlineLevel="0" collapsed="false">
      <c r="D301" s="559" t="str">
        <f aca="false">HLOOKUP($C$1,$E$1:$X$4910,ROW(D301))</f>
        <v>Region of origin</v>
      </c>
      <c r="E301" s="556" t="s">
        <v>1880</v>
      </c>
      <c r="F301" s="556" t="s">
        <v>1881</v>
      </c>
      <c r="G301" s="563" t="s">
        <v>1882</v>
      </c>
      <c r="H301" s="556" t="s">
        <v>1883</v>
      </c>
      <c r="I301" s="556" t="str">
        <f aca="false">"[fr]"&amp;E301</f>
        <v>[fr]regionale Herkunft</v>
      </c>
      <c r="J301" s="556" t="str">
        <f aca="false">"[pt]"&amp;E301</f>
        <v>[pt]regionale Herkunft</v>
      </c>
      <c r="K301" s="556" t="str">
        <f aca="false">"[gr]"&amp;E301</f>
        <v>[gr]regionale Herkunft</v>
      </c>
    </row>
    <row r="302" customFormat="false" ht="15.75" hidden="false" customHeight="true" outlineLevel="0" collapsed="false">
      <c r="D302" s="559" t="str">
        <f aca="false">HLOOKUP($C$1,$E$1:$X$4910,ROW(D302))</f>
        <v>Costs</v>
      </c>
      <c r="E302" s="556" t="s">
        <v>1884</v>
      </c>
      <c r="F302" s="556" t="s">
        <v>1885</v>
      </c>
      <c r="G302" s="563" t="s">
        <v>1886</v>
      </c>
      <c r="H302" s="556" t="s">
        <v>1887</v>
      </c>
      <c r="I302" s="556" t="str">
        <f aca="false">"[fr]"&amp;E302</f>
        <v>[fr]Ausgaben</v>
      </c>
      <c r="J302" s="556" t="str">
        <f aca="false">"[pt]"&amp;E302</f>
        <v>[pt]Ausgaben</v>
      </c>
      <c r="K302" s="556" t="str">
        <f aca="false">"[gr]"&amp;E302</f>
        <v>[gr]Ausgaben</v>
      </c>
    </row>
    <row r="303" customFormat="false" ht="28.5" hidden="false" customHeight="true" outlineLevel="0" collapsed="false">
      <c r="D303" s="559" t="str">
        <f aca="false">HLOOKUP($C$1,$E$1:$X$4910,ROW(D303))</f>
        <v>Main origin of the other suppliers</v>
      </c>
      <c r="E303" s="556" t="s">
        <v>1888</v>
      </c>
      <c r="F303" s="556" t="s">
        <v>1889</v>
      </c>
      <c r="G303" s="563" t="s">
        <v>1890</v>
      </c>
      <c r="H303" s="556" t="s">
        <v>1891</v>
      </c>
      <c r="I303" s="556" t="str">
        <f aca="false">"[fr]"&amp;E303</f>
        <v>[fr]Überwiegende Herkunft restlicher Lieferanten</v>
      </c>
      <c r="J303" s="556" t="str">
        <f aca="false">"[pt]"&amp;E303</f>
        <v>[pt]Überwiegende Herkunft restlicher Lieferanten</v>
      </c>
      <c r="K303" s="556" t="str">
        <f aca="false">"[gr]"&amp;E303</f>
        <v>[gr]Überwiegende Herkunft restlicher Lieferanten</v>
      </c>
    </row>
    <row r="304" customFormat="false" ht="15.75" hidden="false" customHeight="true" outlineLevel="0" collapsed="false">
      <c r="D304" s="559" t="str">
        <f aca="false">HLOOKUP($C$1,$E$1:$X$4910,ROW(D304))</f>
        <v>Profit</v>
      </c>
      <c r="E304" s="556" t="s">
        <v>1892</v>
      </c>
      <c r="F304" s="576" t="s">
        <v>1893</v>
      </c>
      <c r="G304" s="563" t="s">
        <v>1894</v>
      </c>
      <c r="H304" s="556" t="s">
        <v>1895</v>
      </c>
      <c r="I304" s="556" t="str">
        <f aca="false">"[fr]"&amp;E304</f>
        <v>[fr]Gewinn (EBIT):</v>
      </c>
      <c r="J304" s="556" t="str">
        <f aca="false">"[pt]"&amp;E304</f>
        <v>[pt]Gewinn (EBIT):</v>
      </c>
      <c r="K304" s="556" t="str">
        <f aca="false">"[gr]"&amp;E304</f>
        <v>[gr]Gewinn (EBIT):</v>
      </c>
    </row>
    <row r="305" customFormat="false" ht="15.75" hidden="false" customHeight="true" outlineLevel="0" collapsed="false">
      <c r="D305" s="559" t="str">
        <f aca="false">HLOOKUP($C$1,$E$1:$X$4910,ROW(D305))</f>
        <v>Financing costs</v>
      </c>
      <c r="E305" s="556" t="s">
        <v>1896</v>
      </c>
      <c r="F305" s="556" t="s">
        <v>1897</v>
      </c>
      <c r="G305" s="563" t="s">
        <v>1898</v>
      </c>
      <c r="H305" s="556" t="s">
        <v>1899</v>
      </c>
      <c r="I305" s="556" t="str">
        <f aca="false">"[fr]"&amp;E305</f>
        <v>[fr]Finanzierungskosten</v>
      </c>
      <c r="J305" s="556" t="str">
        <f aca="false">"[pt]"&amp;E305</f>
        <v>[pt]Finanzierungskosten</v>
      </c>
      <c r="K305" s="556" t="str">
        <f aca="false">"[gr]"&amp;E305</f>
        <v>[gr]Finanzierungskosten</v>
      </c>
    </row>
    <row r="306" customFormat="false" ht="15.75" hidden="false" customHeight="true" outlineLevel="0" collapsed="false">
      <c r="D306" s="559" t="str">
        <f aca="false">HLOOKUP($C$1,$E$1:$X$4910,ROW(D306))</f>
        <v>Income from financial investments</v>
      </c>
      <c r="E306" s="556" t="s">
        <v>1900</v>
      </c>
      <c r="F306" s="556" t="s">
        <v>1901</v>
      </c>
      <c r="G306" s="563" t="s">
        <v>1902</v>
      </c>
      <c r="H306" s="556" t="s">
        <v>1903</v>
      </c>
      <c r="I306" s="556" t="str">
        <f aca="false">"[fr]"&amp;E306</f>
        <v>[fr]Erträge aus Finanzanlagen</v>
      </c>
      <c r="J306" s="556" t="str">
        <f aca="false">"[pt]"&amp;E306</f>
        <v>[pt]Erträge aus Finanzanlagen</v>
      </c>
      <c r="K306" s="556" t="str">
        <f aca="false">"[gr]"&amp;E306</f>
        <v>[gr]Erträge aus Finanzanlagen</v>
      </c>
    </row>
    <row r="307" customFormat="false" ht="15.75" hidden="false" customHeight="true" outlineLevel="0" collapsed="false">
      <c r="D307" s="559" t="str">
        <f aca="false">HLOOKUP($C$1,$E$1:$X$4910,ROW(D307))</f>
        <v>Total assets</v>
      </c>
      <c r="E307" s="556" t="s">
        <v>1904</v>
      </c>
      <c r="F307" s="576" t="s">
        <v>1905</v>
      </c>
      <c r="G307" s="563" t="s">
        <v>1906</v>
      </c>
      <c r="H307" s="556" t="s">
        <v>1907</v>
      </c>
      <c r="I307" s="556" t="str">
        <f aca="false">"[fr]"&amp;E307</f>
        <v>[fr]Bilanzaktiva</v>
      </c>
      <c r="J307" s="556" t="str">
        <f aca="false">"[pt]"&amp;E307</f>
        <v>[pt]Bilanzaktiva</v>
      </c>
      <c r="K307" s="556" t="str">
        <f aca="false">"[gr]"&amp;E307</f>
        <v>[gr]Bilanzaktiva</v>
      </c>
    </row>
    <row r="308" customFormat="false" ht="15.75" hidden="false" customHeight="true" outlineLevel="0" collapsed="false">
      <c r="D308" s="559" t="str">
        <f aca="false">HLOOKUP($C$1,$E$1:$X$4910,ROW(D308))</f>
        <v>Additions to fixed-assets</v>
      </c>
      <c r="E308" s="556" t="s">
        <v>1908</v>
      </c>
      <c r="F308" s="576" t="s">
        <v>1909</v>
      </c>
      <c r="G308" s="563" t="s">
        <v>1910</v>
      </c>
      <c r="H308" s="556" t="s">
        <v>1911</v>
      </c>
      <c r="I308" s="556" t="str">
        <f aca="false">"[fr]"&amp;E308</f>
        <v>[fr]Zugänge zum Anlagevermögen </v>
      </c>
      <c r="J308" s="556" t="str">
        <f aca="false">"[pt]"&amp;E308</f>
        <v>[pt]Zugänge zum Anlagevermögen </v>
      </c>
      <c r="K308" s="556" t="str">
        <f aca="false">"[gr]"&amp;E308</f>
        <v>[gr]Zugänge zum Anlagevermögen </v>
      </c>
    </row>
    <row r="309" customFormat="false" ht="15.75" hidden="false" customHeight="true" outlineLevel="0" collapsed="false">
      <c r="D309" s="559" t="str">
        <f aca="false">HLOOKUP($C$1,$E$1:$X$4910,ROW(D309))</f>
        <v>Financial assets and cash balance</v>
      </c>
      <c r="E309" s="556" t="s">
        <v>1912</v>
      </c>
      <c r="F309" s="576" t="s">
        <v>1913</v>
      </c>
      <c r="G309" s="563" t="s">
        <v>1914</v>
      </c>
      <c r="H309" s="556" t="s">
        <v>1915</v>
      </c>
      <c r="I309" s="556" t="str">
        <f aca="false">"[fr]"&amp;E309</f>
        <v>[fr]Finanzanlagen und Barguthaben</v>
      </c>
      <c r="J309" s="556" t="str">
        <f aca="false">"[pt]"&amp;E309</f>
        <v>[pt]Finanzanlagen und Barguthaben</v>
      </c>
      <c r="K309" s="556" t="str">
        <f aca="false">"[gr]"&amp;E309</f>
        <v>[gr]Finanzanlagen und Barguthaben</v>
      </c>
    </row>
    <row r="310" customFormat="false" ht="28.5" hidden="false" customHeight="true" outlineLevel="0" collapsed="false">
      <c r="D310" s="559" t="str">
        <f aca="false">HLOOKUP($C$1,$E$1:$X$4910,ROW(D310))</f>
        <v>Number of employees (full time equivalents)</v>
      </c>
      <c r="E310" s="556" t="s">
        <v>1916</v>
      </c>
      <c r="F310" s="556" t="s">
        <v>1917</v>
      </c>
      <c r="G310" s="563" t="s">
        <v>1918</v>
      </c>
      <c r="H310" s="556" t="s">
        <v>1919</v>
      </c>
      <c r="I310" s="556" t="str">
        <f aca="false">"[fr]"&amp;E310</f>
        <v>[fr]Anzahl der Mitarbeitenden (in Vollzeitäquivalenten): </v>
      </c>
      <c r="J310" s="556" t="str">
        <f aca="false">"[pt]"&amp;E310</f>
        <v>[pt]Anzahl der Mitarbeitenden (in Vollzeitäquivalenten): </v>
      </c>
      <c r="K310" s="556" t="str">
        <f aca="false">"[gr]"&amp;E310</f>
        <v>[gr]Anzahl der Mitarbeitenden (in Vollzeitäquivalenten): </v>
      </c>
    </row>
    <row r="311" customFormat="false" ht="28.5" hidden="false" customHeight="true" outlineLevel="0" collapsed="false">
      <c r="D311" s="559" t="str">
        <f aca="false">HLOOKUP($C$1,$E$1:$X$4910,ROW(D311))</f>
        <v>Staff costs (gross without employer contribution)</v>
      </c>
      <c r="E311" s="556" t="s">
        <v>1920</v>
      </c>
      <c r="F311" s="556" t="s">
        <v>1921</v>
      </c>
      <c r="G311" s="563" t="s">
        <v>1922</v>
      </c>
      <c r="H311" s="556" t="s">
        <v>1923</v>
      </c>
      <c r="I311" s="556" t="str">
        <f aca="false">"[fr]"&amp;E311</f>
        <v>[fr]Personalkosten (brutto ohne Dienstgeberanteil)</v>
      </c>
      <c r="J311" s="556" t="str">
        <f aca="false">"[pt]"&amp;E311</f>
        <v>[pt]Personalkosten (brutto ohne Dienstgeberanteil)</v>
      </c>
      <c r="K311" s="556" t="str">
        <f aca="false">"[gr]"&amp;E311</f>
        <v>[gr]Personalkosten (brutto ohne Dienstgeberanteil)</v>
      </c>
    </row>
    <row r="312" customFormat="false" ht="41.85" hidden="false" customHeight="true" outlineLevel="0" collapsed="false">
      <c r="D312" s="559" t="str">
        <f aca="false">HLOOKUP($C$1,$E$1:$X$4910,ROW(D312))</f>
        <v>Enter the 3 countries and regions where most of the staff are</v>
      </c>
      <c r="E312" s="562" t="s">
        <v>1924</v>
      </c>
      <c r="F312" s="556" t="s">
        <v>1925</v>
      </c>
      <c r="G312" s="563" t="s">
        <v>1926</v>
      </c>
      <c r="H312" s="556" t="s">
        <v>1927</v>
      </c>
      <c r="I312" s="556" t="str">
        <f aca="false">"[fr]"&amp;E312</f>
        <v>[fr]Tragen Sie bitte nachstehend jene drei Länder und Regionen ein, wo die meisten Mitarbeitenden arbeiten</v>
      </c>
      <c r="J312" s="556" t="str">
        <f aca="false">"[pt]"&amp;E312</f>
        <v>[pt]Tragen Sie bitte nachstehend jene drei Länder und Regionen ein, wo die meisten Mitarbeitenden arbeiten</v>
      </c>
      <c r="K312" s="556" t="str">
        <f aca="false">"[gr]"&amp;E312</f>
        <v>[gr]Tragen Sie bitte nachstehend jene drei Länder und Regionen ein, wo die meisten Mitarbeitenden arbeiten</v>
      </c>
    </row>
    <row r="313" customFormat="false" ht="15.75" hidden="false" customHeight="true" outlineLevel="0" collapsed="false">
      <c r="D313" s="559" t="str">
        <f aca="false">HLOOKUP($C$1,$E$1:$X$4910,ROW(D313))</f>
        <v>Country and region</v>
      </c>
      <c r="E313" s="556" t="s">
        <v>1928</v>
      </c>
      <c r="F313" s="556" t="s">
        <v>1929</v>
      </c>
      <c r="G313" s="563" t="s">
        <v>1930</v>
      </c>
      <c r="H313" s="556" t="s">
        <v>1931</v>
      </c>
      <c r="I313" s="556" t="str">
        <f aca="false">"[fr]"&amp;E313</f>
        <v>[fr]Land &amp; Region</v>
      </c>
      <c r="J313" s="556" t="str">
        <f aca="false">"[pt]"&amp;E313</f>
        <v>[pt]Land &amp; Region</v>
      </c>
      <c r="K313" s="556" t="str">
        <f aca="false">"[gr]"&amp;E313</f>
        <v>[gr]Land &amp; Region</v>
      </c>
    </row>
    <row r="314" customFormat="false" ht="15.75" hidden="false" customHeight="true" outlineLevel="0" collapsed="false">
      <c r="D314" s="559" t="str">
        <f aca="false">HLOOKUP($C$1,$E$1:$X$4910,ROW(D314))</f>
        <v>Amount in %</v>
      </c>
      <c r="E314" s="556" t="s">
        <v>1932</v>
      </c>
      <c r="F314" s="556" t="s">
        <v>1933</v>
      </c>
      <c r="G314" s="563" t="s">
        <v>1934</v>
      </c>
      <c r="H314" s="556" t="s">
        <v>1935</v>
      </c>
      <c r="I314" s="556" t="str">
        <f aca="false">"[fr]"&amp;E314</f>
        <v>[fr]Anteil in % </v>
      </c>
      <c r="J314" s="556" t="str">
        <f aca="false">"[pt]"&amp;E314</f>
        <v>[pt]Anteil in % </v>
      </c>
      <c r="K314" s="556" t="str">
        <f aca="false">"[gr]"&amp;E314</f>
        <v>[gr]Anteil in % </v>
      </c>
    </row>
    <row r="315" customFormat="false" ht="28.5" hidden="false" customHeight="true" outlineLevel="0" collapsed="false">
      <c r="D315" s="559" t="str">
        <f aca="false">HLOOKUP($C$1,$E$1:$X$4910,ROW(D315))</f>
        <v>Average journey to work for staff (in km)</v>
      </c>
      <c r="E315" s="556" t="s">
        <v>1936</v>
      </c>
      <c r="F315" s="556" t="s">
        <v>1937</v>
      </c>
      <c r="G315" s="563" t="s">
        <v>1938</v>
      </c>
      <c r="H315" s="556" t="s">
        <v>1939</v>
      </c>
      <c r="I315" s="556" t="str">
        <f aca="false">"[fr]"&amp;E315</f>
        <v>[fr]Durchschnittlicher Arbeitsweg der Mitarbeitenden (in km):</v>
      </c>
      <c r="J315" s="556" t="str">
        <f aca="false">"[pt]"&amp;E315</f>
        <v>[pt]Durchschnittlicher Arbeitsweg der Mitarbeitenden (in km):</v>
      </c>
      <c r="K315" s="556" t="str">
        <f aca="false">"[gr]"&amp;E315</f>
        <v>[gr]Durchschnittlicher Arbeitsweg der Mitarbeitenden (in km):</v>
      </c>
    </row>
    <row r="316" customFormat="false" ht="29.25" hidden="false" customHeight="true" outlineLevel="0" collapsed="false">
      <c r="D316" s="559" t="str">
        <f aca="false">HLOOKUP($C$1,$E$1:$X$4910,ROW(D316))</f>
        <v>Is there a canteen for the majority of staff?</v>
      </c>
      <c r="E316" s="556" t="s">
        <v>1940</v>
      </c>
      <c r="F316" s="556" t="s">
        <v>1941</v>
      </c>
      <c r="G316" s="563" t="s">
        <v>1942</v>
      </c>
      <c r="H316" s="556" t="s">
        <v>1943</v>
      </c>
      <c r="I316" s="556" t="str">
        <f aca="false">"[fr]"&amp;E316</f>
        <v>[fr]Gibt es eine Kantine für die Mehrheit der Mitarbeitenden?</v>
      </c>
      <c r="J316" s="556" t="str">
        <f aca="false">"[pt]"&amp;E316</f>
        <v>[pt]Gibt es eine Kantine für die Mehrheit der Mitarbeitenden?</v>
      </c>
      <c r="K316" s="556" t="str">
        <f aca="false">"[gr]"&amp;E316</f>
        <v>[gr]Gibt es eine Kantine für die Mehrheit der Mitarbeitenden?</v>
      </c>
    </row>
    <row r="317" customFormat="false" ht="15.75" hidden="false" customHeight="true" outlineLevel="0" collapsed="false">
      <c r="D317" s="559" t="str">
        <f aca="false">HLOOKUP($C$1,$E$1:$X$4910,ROW(D317))</f>
        <v>Turnover (in Euros)</v>
      </c>
      <c r="E317" s="556" t="s">
        <v>1944</v>
      </c>
      <c r="F317" s="556" t="s">
        <v>1945</v>
      </c>
      <c r="G317" s="563" t="s">
        <v>1946</v>
      </c>
      <c r="H317" s="556" t="s">
        <v>1947</v>
      </c>
      <c r="I317" s="556" t="str">
        <f aca="false">"[fr]"&amp;E317</f>
        <v>[fr]Umsatz (in Euro)</v>
      </c>
      <c r="J317" s="556" t="str">
        <f aca="false">"[pt]"&amp;E317</f>
        <v>[pt]Umsatz (in Euro)</v>
      </c>
      <c r="K317" s="556" t="str">
        <f aca="false">"[gr]"&amp;E317</f>
        <v>[gr]Umsatz (in Euro)</v>
      </c>
    </row>
    <row r="318" customFormat="false" ht="28.5" hidden="false" customHeight="true" outlineLevel="0" collapsed="false">
      <c r="D318" s="559" t="str">
        <f aca="false">HLOOKUP($C$1,$E$1:$X$4910,ROW(D318))</f>
        <v>Are your customers mainly other companies?</v>
      </c>
      <c r="E318" s="556" t="s">
        <v>1948</v>
      </c>
      <c r="F318" s="556" t="s">
        <v>1949</v>
      </c>
      <c r="G318" s="563" t="s">
        <v>1950</v>
      </c>
      <c r="H318" s="556" t="s">
        <v>1951</v>
      </c>
      <c r="I318" s="556" t="str">
        <f aca="false">"[fr]"&amp;E318</f>
        <v>[fr]Haben Sie nahezu ausschließlich Unternehmen als Kunden</v>
      </c>
      <c r="J318" s="556" t="str">
        <f aca="false">"[pt]"&amp;E318</f>
        <v>[pt]Haben Sie nahezu ausschließlich Unternehmen als Kunden</v>
      </c>
      <c r="K318" s="556" t="str">
        <f aca="false">"[gr]"&amp;E318</f>
        <v>[gr]Haben Sie nahezu ausschließlich Unternehmen als Kunden</v>
      </c>
    </row>
    <row r="319" customFormat="false" ht="41.85" hidden="false" customHeight="true" outlineLevel="0" collapsed="false">
      <c r="D319" s="559" t="str">
        <f aca="false">HLOOKUP($C$1,$E$1:$X$4910,ROW(D319))</f>
        <v>Enter the 3 most important industry sectors which your company is active in, including a rough share of turnover</v>
      </c>
      <c r="E319" s="556" t="s">
        <v>1952</v>
      </c>
      <c r="F319" s="556" t="s">
        <v>1953</v>
      </c>
      <c r="G319" s="563" t="s">
        <v>1954</v>
      </c>
      <c r="H319" s="556" t="s">
        <v>1955</v>
      </c>
      <c r="I319" s="556" t="str">
        <f aca="false">"[fr]"&amp;E319</f>
        <v>[fr]Tragen Sie nachstehend, bitte die 3 wichtigsten Branchen ein, in denen Ihr Unternehmen tätig ist, inklusive ungefährem Umsatzanteil</v>
      </c>
      <c r="J319" s="556" t="str">
        <f aca="false">"[pt]"&amp;E319</f>
        <v>[pt]Tragen Sie nachstehend, bitte die 3 wichtigsten Branchen ein, in denen Ihr Unternehmen tätig ist, inklusive ungefährem Umsatzanteil</v>
      </c>
      <c r="K319" s="556" t="str">
        <f aca="false">"[gr]"&amp;E319</f>
        <v>[gr]Tragen Sie nachstehend, bitte die 3 wichtigsten Branchen ein, in denen Ihr Unternehmen tätig ist, inklusive ungefährem Umsatzanteil</v>
      </c>
    </row>
    <row r="320" customFormat="false" ht="15.75" hidden="false" customHeight="true" outlineLevel="0" collapsed="false">
      <c r="D320" s="559" t="str">
        <f aca="false">HLOOKUP($C$1,$E$1:$X$4910,ROW(D320))</f>
        <v>Industry sector</v>
      </c>
      <c r="E320" s="556" t="s">
        <v>1873</v>
      </c>
      <c r="F320" s="556" t="s">
        <v>1874</v>
      </c>
      <c r="G320" s="563" t="s">
        <v>1875</v>
      </c>
      <c r="H320" s="556" t="s">
        <v>1876</v>
      </c>
      <c r="I320" s="556" t="str">
        <f aca="false">"[fr]"&amp;E320</f>
        <v>[fr]Branche</v>
      </c>
      <c r="J320" s="556" t="str">
        <f aca="false">"[pt]"&amp;E320</f>
        <v>[pt]Branche</v>
      </c>
      <c r="K320" s="556" t="str">
        <f aca="false">"[gr]"&amp;E320</f>
        <v>[gr]Branche</v>
      </c>
    </row>
    <row r="321" customFormat="false" ht="15.75" hidden="false" customHeight="true" outlineLevel="0" collapsed="false">
      <c r="D321" s="559" t="str">
        <f aca="false">HLOOKUP($C$1,$E$1:$X$4910,ROW(D321))</f>
        <v>Description</v>
      </c>
      <c r="E321" s="556" t="s">
        <v>1877</v>
      </c>
      <c r="F321" s="556" t="s">
        <v>1956</v>
      </c>
      <c r="G321" s="563" t="s">
        <v>1878</v>
      </c>
      <c r="H321" s="556" t="s">
        <v>1879</v>
      </c>
      <c r="I321" s="556" t="str">
        <f aca="false">"[fr]"&amp;E321</f>
        <v>[fr]Beschreibung</v>
      </c>
      <c r="J321" s="556" t="str">
        <f aca="false">"[pt]"&amp;E321</f>
        <v>[pt]Beschreibung</v>
      </c>
      <c r="K321" s="556" t="str">
        <f aca="false">"[gr]"&amp;E321</f>
        <v>[gr]Beschreibung</v>
      </c>
    </row>
    <row r="322" customFormat="false" ht="15.75" hidden="false" customHeight="true" outlineLevel="0" collapsed="false">
      <c r="D322" s="559" t="str">
        <f aca="false">HLOOKUP($C$1,$E$1:$X$4910,ROW(D322))</f>
        <v>% Amount of total turnover</v>
      </c>
      <c r="E322" s="556" t="s">
        <v>1957</v>
      </c>
      <c r="F322" s="556" t="s">
        <v>1958</v>
      </c>
      <c r="G322" s="563" t="s">
        <v>1959</v>
      </c>
      <c r="H322" s="556" t="s">
        <v>1960</v>
      </c>
      <c r="I322" s="556" t="str">
        <f aca="false">"[fr]"&amp;E322</f>
        <v>[fr]% Anteil am Gesamtumsatz</v>
      </c>
      <c r="J322" s="556" t="str">
        <f aca="false">"[pt]"&amp;E322</f>
        <v>[pt]% Anteil am Gesamtumsatz</v>
      </c>
      <c r="K322" s="556" t="str">
        <f aca="false">"[gr]"&amp;E322</f>
        <v>[gr]% Anteil am Gesamtumsatz</v>
      </c>
    </row>
    <row r="323" customFormat="false" ht="15.75" hidden="false" customHeight="true" outlineLevel="0" collapsed="false">
      <c r="D323" s="559" t="str">
        <f aca="false">HLOOKUP($C$1,$E$1:$X$4910,ROW(D323))</f>
        <v>Company size</v>
      </c>
      <c r="E323" s="556" t="s">
        <v>1961</v>
      </c>
      <c r="F323" s="556" t="s">
        <v>1962</v>
      </c>
      <c r="G323" s="563" t="s">
        <v>1963</v>
      </c>
      <c r="H323" s="556" t="s">
        <v>1964</v>
      </c>
      <c r="I323" s="556" t="str">
        <f aca="false">"[fr]"&amp;E323</f>
        <v>[fr]Unternehmensgrösse </v>
      </c>
      <c r="J323" s="556" t="str">
        <f aca="false">"[pt]"&amp;E323</f>
        <v>[pt]Unternehmensgrösse </v>
      </c>
      <c r="K323" s="556" t="str">
        <f aca="false">"[gr]"&amp;E323</f>
        <v>[gr]Unternehmensgrösse </v>
      </c>
    </row>
    <row r="324" customFormat="false" ht="15.75" hidden="false" customHeight="true" outlineLevel="0" collapsed="false">
      <c r="D324" s="559" t="str">
        <f aca="false">HLOOKUP($C$1,$E$1:$X$4910,ROW(D324))</f>
        <v>Micro-business</v>
      </c>
      <c r="E324" s="556" t="s">
        <v>1965</v>
      </c>
      <c r="F324" s="556" t="s">
        <v>1966</v>
      </c>
      <c r="G324" s="563" t="s">
        <v>1967</v>
      </c>
      <c r="H324" s="556" t="s">
        <v>1968</v>
      </c>
      <c r="I324" s="556" t="str">
        <f aca="false">"[fr]"&amp;E324</f>
        <v>[fr]Kleinstunternehmen</v>
      </c>
      <c r="J324" s="556" t="str">
        <f aca="false">"[pt]"&amp;E324</f>
        <v>[pt]Kleinstunternehmen</v>
      </c>
      <c r="K324" s="556" t="str">
        <f aca="false">"[gr]"&amp;E324</f>
        <v>[gr]Kleinstunternehmen</v>
      </c>
    </row>
    <row r="325" customFormat="false" ht="15.75" hidden="false" customHeight="true" outlineLevel="0" collapsed="false">
      <c r="D325" s="559" t="str">
        <f aca="false">HLOOKUP($C$1,$E$1:$X$4910,ROW(D325))</f>
        <v>Small business</v>
      </c>
      <c r="E325" s="556" t="s">
        <v>1969</v>
      </c>
      <c r="F325" s="556" t="s">
        <v>1970</v>
      </c>
      <c r="G325" s="563" t="s">
        <v>1971</v>
      </c>
      <c r="H325" s="556" t="s">
        <v>1972</v>
      </c>
      <c r="I325" s="556" t="str">
        <f aca="false">"[fr]"&amp;E325</f>
        <v>[fr]Kleinunternehmen</v>
      </c>
      <c r="J325" s="556" t="str">
        <f aca="false">"[pt]"&amp;E325</f>
        <v>[pt]Kleinunternehmen</v>
      </c>
      <c r="K325" s="556" t="str">
        <f aca="false">"[gr]"&amp;E325</f>
        <v>[gr]Kleinunternehmen</v>
      </c>
    </row>
    <row r="326" customFormat="false" ht="15.75" hidden="false" customHeight="true" outlineLevel="0" collapsed="false">
      <c r="D326" s="559" t="str">
        <f aca="false">HLOOKUP($C$1,$E$1:$X$4910,ROW(D326))</f>
        <v>Medium business</v>
      </c>
      <c r="E326" s="556" t="s">
        <v>1973</v>
      </c>
      <c r="F326" s="556" t="s">
        <v>1974</v>
      </c>
      <c r="G326" s="563" t="s">
        <v>1975</v>
      </c>
      <c r="H326" s="556" t="s">
        <v>1976</v>
      </c>
      <c r="I326" s="556" t="str">
        <f aca="false">"[fr]"&amp;E326</f>
        <v>[fr]Mittleres Unternehmen</v>
      </c>
      <c r="J326" s="556" t="str">
        <f aca="false">"[pt]"&amp;E326</f>
        <v>[pt]Mittleres Unternehmen</v>
      </c>
      <c r="K326" s="556" t="str">
        <f aca="false">"[gr]"&amp;E326</f>
        <v>[gr]Mittleres Unternehmen</v>
      </c>
    </row>
    <row r="327" customFormat="false" ht="15.75" hidden="false" customHeight="true" outlineLevel="0" collapsed="false">
      <c r="D327" s="559" t="str">
        <f aca="false">HLOOKUP($C$1,$E$1:$X$4910,ROW(D327))</f>
        <v>Large business</v>
      </c>
      <c r="E327" s="556" t="s">
        <v>1977</v>
      </c>
      <c r="F327" s="556" t="s">
        <v>1978</v>
      </c>
      <c r="G327" s="563" t="s">
        <v>1979</v>
      </c>
      <c r="H327" s="556" t="s">
        <v>1980</v>
      </c>
      <c r="I327" s="556" t="str">
        <f aca="false">"[fr]"&amp;E327</f>
        <v>[fr]Grossunternehmen</v>
      </c>
      <c r="J327" s="556" t="str">
        <f aca="false">"[pt]"&amp;E327</f>
        <v>[pt]Grossunternehmen</v>
      </c>
      <c r="K327" s="556" t="str">
        <f aca="false">"[gr]"&amp;E327</f>
        <v>[gr]Grossunternehmen</v>
      </c>
    </row>
    <row r="328" customFormat="false" ht="28.5" hidden="false" customHeight="true" outlineLevel="0" collapsed="false">
      <c r="D328" s="559" t="str">
        <f aca="false">HLOOKUP($C$1,$E$1:$X$4910,ROW(D328))</f>
        <v>[en]In diesem Tabellenblatt wird die Gemeinwohlbilanz berechnet. </v>
      </c>
      <c r="E328" s="562" t="s">
        <v>1981</v>
      </c>
      <c r="F328" s="556" t="s">
        <v>1982</v>
      </c>
      <c r="G328" s="556" t="str">
        <f aca="false">"[en]"&amp;E328</f>
        <v>[en]In diesem Tabellenblatt wird die Gemeinwohlbilanz berechnet. </v>
      </c>
      <c r="H328" s="556" t="s">
        <v>1983</v>
      </c>
      <c r="I328" s="556" t="str">
        <f aca="false">"[fr]"&amp;E328</f>
        <v>[fr]In diesem Tabellenblatt wird die Gemeinwohlbilanz berechnet. </v>
      </c>
      <c r="J328" s="556" t="str">
        <f aca="false">"[pt]"&amp;E328</f>
        <v>[pt]In diesem Tabellenblatt wird die Gemeinwohlbilanz berechnet. </v>
      </c>
      <c r="K328" s="556" t="str">
        <f aca="false">"[gr]"&amp;E328</f>
        <v>[gr]In diesem Tabellenblatt wird die Gemeinwohlbilanz berechnet. </v>
      </c>
    </row>
    <row r="329" customFormat="false" ht="28.5" hidden="false" customHeight="true" outlineLevel="0" collapsed="false">
      <c r="D329" s="559" t="str">
        <f aca="false">HLOOKUP($C$1,$E$1:$X$4910,ROW(D329))</f>
        <v>Introduce value between 0 and 10</v>
      </c>
      <c r="E329" s="562" t="s">
        <v>1984</v>
      </c>
      <c r="F329" s="623" t="s">
        <v>1985</v>
      </c>
      <c r="G329" s="563" t="s">
        <v>1986</v>
      </c>
      <c r="H329" s="556" t="s">
        <v>1987</v>
      </c>
      <c r="I329" s="556" t="str">
        <f aca="false">"[fr]"&amp;E329</f>
        <v>[fr]Skalenwert eingeben: Wert muss im Bereich von 0 bis 10 liegen.</v>
      </c>
      <c r="J329" s="556" t="str">
        <f aca="false">"[pt]"&amp;E329</f>
        <v>[pt]Skalenwert eingeben: Wert muss im Bereich von 0 bis 10 liegen.</v>
      </c>
      <c r="K329" s="556" t="str">
        <f aca="false">"[gr]"&amp;E329</f>
        <v>[gr]Skalenwert eingeben: Wert muss im Bereich von 0 bis 10 liegen.</v>
      </c>
    </row>
    <row r="330" customFormat="false" ht="28.5" hidden="false" customHeight="true" outlineLevel="0" collapsed="false">
      <c r="D330" s="559" t="str">
        <f aca="false">HLOOKUP($C$1,$E$1:$X$4910,ROW(D330))</f>
        <v>Introduce negative points between 0 and -200</v>
      </c>
      <c r="E330" s="562" t="s">
        <v>1988</v>
      </c>
      <c r="F330" s="623" t="s">
        <v>1989</v>
      </c>
      <c r="G330" s="563" t="s">
        <v>1990</v>
      </c>
      <c r="H330" s="556" t="s">
        <v>1991</v>
      </c>
      <c r="I330" s="556" t="str">
        <f aca="false">"[fr]"&amp;E330</f>
        <v>[fr]Negativpunkte eingeben: Werte müssen im Bereich von -200 bis 0 liegen.</v>
      </c>
      <c r="J330" s="556" t="str">
        <f aca="false">"[pt]"&amp;E330</f>
        <v>[pt]Negativpunkte eingeben: Werte müssen im Bereich von -200 bis 0 liegen.</v>
      </c>
      <c r="K330" s="556" t="str">
        <f aca="false">"[gr]"&amp;E330</f>
        <v>[gr]Negativpunkte eingeben: Werte müssen im Bereich von -200 bis 0 liegen.</v>
      </c>
    </row>
    <row r="331" customFormat="false" ht="15.75" hidden="false" customHeight="true" outlineLevel="0" collapsed="false">
      <c r="D331" s="559" t="str">
        <f aca="false">HLOOKUP($C$1,$E$1:$X$4910,ROW(D331))</f>
        <v>[en]globaler Durchschnitt</v>
      </c>
      <c r="E331" s="624" t="s">
        <v>1992</v>
      </c>
      <c r="F331" s="556" t="s">
        <v>1993</v>
      </c>
      <c r="G331" s="563" t="str">
        <f aca="false">"[en]"&amp;E331</f>
        <v>[en]globaler Durchschnitt</v>
      </c>
      <c r="H331" s="556" t="s">
        <v>1994</v>
      </c>
      <c r="I331" s="556" t="str">
        <f aca="false">"[fr]"&amp;E331</f>
        <v>[fr]globaler Durchschnitt</v>
      </c>
      <c r="J331" s="556" t="str">
        <f aca="false">"[pt]"&amp;E331</f>
        <v>[pt]globaler Durchschnitt</v>
      </c>
      <c r="K331" s="556" t="str">
        <f aca="false">"[gr]"&amp;E331</f>
        <v>[gr]globaler Durchschnitt</v>
      </c>
    </row>
    <row r="332" customFormat="false" ht="15.75" hidden="false" customHeight="true" outlineLevel="0" collapsed="false">
      <c r="D332" s="559" t="str">
        <f aca="false">HLOOKUP($C$1,$E$1:$X$4910,ROW(D332))</f>
        <v>Please choose</v>
      </c>
      <c r="E332" s="624" t="s">
        <v>1995</v>
      </c>
      <c r="F332" s="556" t="s">
        <v>1539</v>
      </c>
      <c r="G332" s="563" t="s">
        <v>1540</v>
      </c>
      <c r="H332" s="556" t="s">
        <v>1996</v>
      </c>
      <c r="I332" s="556" t="str">
        <f aca="false">"[fr]"&amp;E332</f>
        <v>[fr]Bitte auswählen</v>
      </c>
      <c r="J332" s="556" t="str">
        <f aca="false">"[pt]"&amp;E332</f>
        <v>[pt]Bitte auswählen</v>
      </c>
      <c r="K332" s="556" t="str">
        <f aca="false">"[gr]"&amp;E332</f>
        <v>[gr]Bitte auswählen</v>
      </c>
    </row>
    <row r="333" customFormat="false" ht="16.35" hidden="false" customHeight="true" outlineLevel="0" collapsed="false">
      <c r="D333" s="559" t="str">
        <f aca="false">HLOOKUP($C$1,$E$1:$X$4910,ROW(D333))</f>
        <v>[en]Afrika</v>
      </c>
      <c r="E333" s="624" t="s">
        <v>1997</v>
      </c>
      <c r="F333" s="556" t="s">
        <v>263</v>
      </c>
      <c r="G333" s="563" t="str">
        <f aca="false">"[en]"&amp;E333</f>
        <v>[en]Afrika</v>
      </c>
      <c r="H333" s="556" t="s">
        <v>1998</v>
      </c>
      <c r="I333" s="556" t="str">
        <f aca="false">"[fr]"&amp;E333</f>
        <v>[fr]Afrika</v>
      </c>
      <c r="J333" s="556" t="str">
        <f aca="false">"[pt]"&amp;E333</f>
        <v>[pt]Afrika</v>
      </c>
      <c r="K333" s="556" t="str">
        <f aca="false">"[gr]"&amp;E333</f>
        <v>[gr]Afrika</v>
      </c>
    </row>
    <row r="334" customFormat="false" ht="16.35" hidden="false" customHeight="true" outlineLevel="0" collapsed="false">
      <c r="D334" s="559" t="str">
        <f aca="false">HLOOKUP($C$1,$E$1:$X$4910,ROW(D334))</f>
        <v>[en]Nord-Afrika und Mittlere Osten</v>
      </c>
      <c r="E334" s="624" t="s">
        <v>1999</v>
      </c>
      <c r="F334" s="556" t="s">
        <v>2000</v>
      </c>
      <c r="G334" s="563" t="str">
        <f aca="false">"[en]"&amp;E334</f>
        <v>[en]Nord-Afrika und Mittlere Osten</v>
      </c>
      <c r="H334" s="556" t="s">
        <v>2001</v>
      </c>
      <c r="I334" s="556" t="str">
        <f aca="false">"[fr]"&amp;E334</f>
        <v>[fr]Nord-Afrika und Mittlere Osten</v>
      </c>
      <c r="J334" s="556" t="str">
        <f aca="false">"[pt]"&amp;E334</f>
        <v>[pt]Nord-Afrika und Mittlere Osten</v>
      </c>
      <c r="K334" s="556" t="str">
        <f aca="false">"[gr]"&amp;E334</f>
        <v>[gr]Nord-Afrika und Mittlere Osten</v>
      </c>
    </row>
    <row r="335" customFormat="false" ht="16.35" hidden="false" customHeight="true" outlineLevel="0" collapsed="false">
      <c r="D335" s="559" t="str">
        <f aca="false">HLOOKUP($C$1,$E$1:$X$4910,ROW(D335))</f>
        <v>[en]Latein-Amerika</v>
      </c>
      <c r="E335" s="624" t="s">
        <v>2002</v>
      </c>
      <c r="F335" s="556" t="s">
        <v>2003</v>
      </c>
      <c r="G335" s="563" t="str">
        <f aca="false">"[en]"&amp;E335</f>
        <v>[en]Latein-Amerika</v>
      </c>
      <c r="H335" s="556" t="s">
        <v>2004</v>
      </c>
      <c r="I335" s="556" t="str">
        <f aca="false">"[fr]"&amp;E335</f>
        <v>[fr]Latein-Amerika</v>
      </c>
      <c r="J335" s="556" t="str">
        <f aca="false">"[pt]"&amp;E335</f>
        <v>[pt]Latein-Amerika</v>
      </c>
      <c r="K335" s="556" t="str">
        <f aca="false">"[gr]"&amp;E335</f>
        <v>[gr]Latein-Amerika</v>
      </c>
    </row>
    <row r="336" customFormat="false" ht="16.35" hidden="false" customHeight="true" outlineLevel="0" collapsed="false">
      <c r="D336" s="559" t="str">
        <f aca="false">HLOOKUP($C$1,$E$1:$X$4910,ROW(D336))</f>
        <v>[en]Nord-Amerika &amp; Ozeanien</v>
      </c>
      <c r="E336" s="624" t="s">
        <v>2005</v>
      </c>
      <c r="F336" s="556" t="s">
        <v>2006</v>
      </c>
      <c r="G336" s="563" t="str">
        <f aca="false">"[en]"&amp;E336</f>
        <v>[en]Nord-Amerika &amp; Ozeanien</v>
      </c>
      <c r="H336" s="556" t="s">
        <v>2007</v>
      </c>
      <c r="I336" s="556" t="str">
        <f aca="false">"[fr]"&amp;E336</f>
        <v>[fr]Nord-Amerika &amp; Ozeanien</v>
      </c>
      <c r="J336" s="556" t="str">
        <f aca="false">"[pt]"&amp;E336</f>
        <v>[pt]Nord-Amerika &amp; Ozeanien</v>
      </c>
      <c r="K336" s="556" t="str">
        <f aca="false">"[gr]"&amp;E336</f>
        <v>[gr]Nord-Amerika &amp; Ozeanien</v>
      </c>
    </row>
    <row r="337" customFormat="false" ht="16.35" hidden="false" customHeight="true" outlineLevel="0" collapsed="false">
      <c r="D337" s="559" t="str">
        <f aca="false">HLOOKUP($C$1,$E$1:$X$4910,ROW(D337))</f>
        <v>[en]Asien</v>
      </c>
      <c r="E337" s="624" t="s">
        <v>2008</v>
      </c>
      <c r="F337" s="556" t="s">
        <v>260</v>
      </c>
      <c r="G337" s="563" t="str">
        <f aca="false">"[en]"&amp;E337</f>
        <v>[en]Asien</v>
      </c>
      <c r="H337" s="556" t="s">
        <v>260</v>
      </c>
      <c r="I337" s="556" t="str">
        <f aca="false">"[fr]"&amp;E337</f>
        <v>[fr]Asien</v>
      </c>
      <c r="J337" s="556" t="str">
        <f aca="false">"[pt]"&amp;E337</f>
        <v>[pt]Asien</v>
      </c>
      <c r="K337" s="556" t="str">
        <f aca="false">"[gr]"&amp;E337</f>
        <v>[gr]Asien</v>
      </c>
    </row>
    <row r="338" customFormat="false" ht="15.75" hidden="false" customHeight="true" outlineLevel="0" collapsed="false">
      <c r="D338" s="559" t="str">
        <f aca="false">HLOOKUP($C$1,$E$1:$X$4910,ROW(D338))</f>
        <v>[en]Europa</v>
      </c>
      <c r="E338" s="624" t="s">
        <v>2009</v>
      </c>
      <c r="F338" s="556" t="s">
        <v>2009</v>
      </c>
      <c r="G338" s="563" t="str">
        <f aca="false">"[en]"&amp;E338</f>
        <v>[en]Europa</v>
      </c>
      <c r="H338" s="556" t="s">
        <v>2009</v>
      </c>
      <c r="I338" s="556" t="str">
        <f aca="false">"[fr]"&amp;E338</f>
        <v>[fr]Europa</v>
      </c>
      <c r="J338" s="556" t="str">
        <f aca="false">"[pt]"&amp;E338</f>
        <v>[pt]Europa</v>
      </c>
      <c r="K338" s="556" t="str">
        <f aca="false">"[gr]"&amp;E338</f>
        <v>[gr]Europa</v>
      </c>
    </row>
    <row r="339" customFormat="false" ht="15.75" hidden="false" customHeight="true" outlineLevel="0" collapsed="false">
      <c r="A339" s="625" t="s">
        <v>258</v>
      </c>
      <c r="B339" s="576" t="s">
        <v>2010</v>
      </c>
      <c r="C339" s="625" t="s">
        <v>2011</v>
      </c>
      <c r="D339" s="559" t="str">
        <f aca="false">A339&amp;" "&amp;HLOOKUP($C$1,$E$1:$X$4910,ROW(D339))</f>
        <v>ABW Aruba </v>
      </c>
      <c r="E339" s="626" t="s">
        <v>255</v>
      </c>
      <c r="F339" s="556" t="s">
        <v>2012</v>
      </c>
      <c r="G339" s="563" t="s">
        <v>2012</v>
      </c>
      <c r="H339" s="556" t="s">
        <v>255</v>
      </c>
      <c r="I339" s="556" t="s">
        <v>255</v>
      </c>
      <c r="J339" s="556" t="str">
        <f aca="false">"[pt]"&amp;E339</f>
        <v>[pt]Aruba</v>
      </c>
      <c r="K339" s="556" t="str">
        <f aca="false">"[gr]"&amp;E339</f>
        <v>[gr]Aruba</v>
      </c>
      <c r="L339" s="627" t="s">
        <v>258</v>
      </c>
      <c r="M339" s="557" t="str">
        <f aca="false">IF(L339=A339,"","nix")</f>
        <v/>
      </c>
    </row>
    <row r="340" customFormat="false" ht="15.75" hidden="false" customHeight="true" outlineLevel="0" collapsed="false">
      <c r="A340" s="625" t="s">
        <v>261</v>
      </c>
      <c r="B340" s="576" t="s">
        <v>2013</v>
      </c>
      <c r="C340" s="625" t="s">
        <v>2014</v>
      </c>
      <c r="D340" s="559" t="str">
        <f aca="false">A340&amp;" "&amp;HLOOKUP($C$1,$E$1:$X$4910,ROW(D340))</f>
        <v>AFG Afghanistan </v>
      </c>
      <c r="E340" s="626" t="s">
        <v>259</v>
      </c>
      <c r="F340" s="556" t="s">
        <v>2015</v>
      </c>
      <c r="G340" s="563" t="s">
        <v>2015</v>
      </c>
      <c r="H340" s="556" t="s">
        <v>2016</v>
      </c>
      <c r="I340" s="556" t="s">
        <v>259</v>
      </c>
      <c r="J340" s="556" t="str">
        <f aca="false">"[pt]"&amp;E340</f>
        <v>[pt]Afghanistan</v>
      </c>
      <c r="K340" s="556" t="str">
        <f aca="false">"[gr]"&amp;E340</f>
        <v>[gr]Afghanistan</v>
      </c>
      <c r="L340" s="627" t="s">
        <v>261</v>
      </c>
      <c r="M340" s="557" t="str">
        <f aca="false">IF(L340=A340,"","nix")</f>
        <v/>
      </c>
    </row>
    <row r="341" customFormat="false" ht="15.75" hidden="false" customHeight="true" outlineLevel="0" collapsed="false">
      <c r="A341" s="625" t="s">
        <v>264</v>
      </c>
      <c r="B341" s="576" t="s">
        <v>2017</v>
      </c>
      <c r="C341" s="625" t="s">
        <v>2018</v>
      </c>
      <c r="D341" s="559" t="str">
        <f aca="false">A341&amp;" "&amp;HLOOKUP($C$1,$E$1:$X$4910,ROW(D341))</f>
        <v>AGO Angola </v>
      </c>
      <c r="E341" s="626" t="s">
        <v>262</v>
      </c>
      <c r="F341" s="556" t="s">
        <v>2019</v>
      </c>
      <c r="G341" s="563" t="s">
        <v>2019</v>
      </c>
      <c r="H341" s="556" t="s">
        <v>262</v>
      </c>
      <c r="I341" s="556" t="s">
        <v>262</v>
      </c>
      <c r="J341" s="556" t="str">
        <f aca="false">"[pt]"&amp;E341</f>
        <v>[pt]Angola</v>
      </c>
      <c r="K341" s="556" t="str">
        <f aca="false">"[gr]"&amp;E341</f>
        <v>[gr]Angola</v>
      </c>
      <c r="L341" s="627" t="s">
        <v>264</v>
      </c>
      <c r="M341" s="557" t="str">
        <f aca="false">IF(L341=A341,"","nix")</f>
        <v/>
      </c>
    </row>
    <row r="342" customFormat="false" ht="15.75" hidden="false" customHeight="true" outlineLevel="0" collapsed="false">
      <c r="A342" s="625" t="s">
        <v>267</v>
      </c>
      <c r="B342" s="576" t="s">
        <v>2020</v>
      </c>
      <c r="C342" s="625" t="s">
        <v>2021</v>
      </c>
      <c r="D342" s="559" t="str">
        <f aca="false">A342&amp;" "&amp;HLOOKUP($C$1,$E$1:$X$4910,ROW(D342))</f>
        <v>ALB Albania </v>
      </c>
      <c r="E342" s="626" t="s">
        <v>2022</v>
      </c>
      <c r="F342" s="556" t="s">
        <v>2023</v>
      </c>
      <c r="G342" s="563" t="s">
        <v>2023</v>
      </c>
      <c r="H342" s="556" t="s">
        <v>265</v>
      </c>
      <c r="I342" s="556" t="s">
        <v>2024</v>
      </c>
      <c r="J342" s="556" t="str">
        <f aca="false">"[pt]"&amp;E342</f>
        <v>[pt]Albanien</v>
      </c>
      <c r="K342" s="556" t="str">
        <f aca="false">"[gr]"&amp;E342</f>
        <v>[gr]Albanien</v>
      </c>
      <c r="L342" s="627" t="s">
        <v>267</v>
      </c>
      <c r="M342" s="557" t="str">
        <f aca="false">IF(L342=A342,"","nix")</f>
        <v/>
      </c>
    </row>
    <row r="343" customFormat="false" ht="15.75" hidden="false" customHeight="true" outlineLevel="0" collapsed="false">
      <c r="A343" s="625" t="s">
        <v>269</v>
      </c>
      <c r="B343" s="576" t="s">
        <v>2025</v>
      </c>
      <c r="C343" s="625" t="s">
        <v>2026</v>
      </c>
      <c r="D343" s="559" t="str">
        <f aca="false">A343&amp;" "&amp;HLOOKUP($C$1,$E$1:$X$4910,ROW(D343))</f>
        <v>AND Andorra </v>
      </c>
      <c r="E343" s="626" t="s">
        <v>268</v>
      </c>
      <c r="F343" s="556" t="s">
        <v>2027</v>
      </c>
      <c r="G343" s="563" t="s">
        <v>2027</v>
      </c>
      <c r="H343" s="556" t="s">
        <v>268</v>
      </c>
      <c r="I343" s="556" t="s">
        <v>2028</v>
      </c>
      <c r="J343" s="556" t="str">
        <f aca="false">"[pt]"&amp;E343</f>
        <v>[pt]Andorra</v>
      </c>
      <c r="K343" s="556" t="str">
        <f aca="false">"[gr]"&amp;E343</f>
        <v>[gr]Andorra</v>
      </c>
      <c r="L343" s="627" t="s">
        <v>269</v>
      </c>
      <c r="M343" s="557" t="str">
        <f aca="false">IF(L343=A343,"","nix")</f>
        <v/>
      </c>
    </row>
    <row r="344" customFormat="false" ht="15.75" hidden="false" customHeight="true" outlineLevel="0" collapsed="false">
      <c r="A344" s="625" t="s">
        <v>271</v>
      </c>
      <c r="B344" s="576" t="s">
        <v>2029</v>
      </c>
      <c r="C344" s="625" t="s">
        <v>2030</v>
      </c>
      <c r="D344" s="559" t="str">
        <f aca="false">A344&amp;" "&amp;HLOOKUP($C$1,$E$1:$X$4910,ROW(D344))</f>
        <v>ARE United Arab Emirates </v>
      </c>
      <c r="E344" s="626" t="s">
        <v>2031</v>
      </c>
      <c r="F344" s="556" t="s">
        <v>2032</v>
      </c>
      <c r="G344" s="563" t="s">
        <v>2033</v>
      </c>
      <c r="H344" s="556" t="s">
        <v>2034</v>
      </c>
      <c r="I344" s="556" t="s">
        <v>2035</v>
      </c>
      <c r="J344" s="556" t="str">
        <f aca="false">"[pt]"&amp;E344</f>
        <v>[pt]Vereinigte Arabische Emirate</v>
      </c>
      <c r="K344" s="556" t="str">
        <f aca="false">"[gr]"&amp;E344</f>
        <v>[gr]Vereinigte Arabische Emirate</v>
      </c>
      <c r="L344" s="627" t="s">
        <v>271</v>
      </c>
      <c r="M344" s="557" t="str">
        <f aca="false">IF(L344=A344,"","nix")</f>
        <v/>
      </c>
    </row>
    <row r="345" customFormat="false" ht="15.75" hidden="false" customHeight="true" outlineLevel="0" collapsed="false">
      <c r="A345" s="625" t="s">
        <v>273</v>
      </c>
      <c r="B345" s="576" t="s">
        <v>2036</v>
      </c>
      <c r="C345" s="625" t="s">
        <v>2037</v>
      </c>
      <c r="D345" s="559" t="str">
        <f aca="false">A345&amp;" "&amp;HLOOKUP($C$1,$E$1:$X$4910,ROW(D345))</f>
        <v>ARG Argentina </v>
      </c>
      <c r="E345" s="626" t="s">
        <v>2038</v>
      </c>
      <c r="F345" s="556" t="s">
        <v>2039</v>
      </c>
      <c r="G345" s="563" t="s">
        <v>2039</v>
      </c>
      <c r="H345" s="556" t="s">
        <v>272</v>
      </c>
      <c r="I345" s="556" t="s">
        <v>2040</v>
      </c>
      <c r="J345" s="556" t="str">
        <f aca="false">"[pt]"&amp;E345</f>
        <v>[pt]Argentinien</v>
      </c>
      <c r="K345" s="556" t="str">
        <f aca="false">"[gr]"&amp;E345</f>
        <v>[gr]Argentinien</v>
      </c>
      <c r="L345" s="627" t="s">
        <v>273</v>
      </c>
      <c r="M345" s="557" t="str">
        <f aca="false">IF(L345=A345,"","nix")</f>
        <v/>
      </c>
    </row>
    <row r="346" customFormat="false" ht="15.75" hidden="false" customHeight="true" outlineLevel="0" collapsed="false">
      <c r="A346" s="625" t="s">
        <v>275</v>
      </c>
      <c r="B346" s="576" t="s">
        <v>2041</v>
      </c>
      <c r="C346" s="625" t="s">
        <v>2042</v>
      </c>
      <c r="D346" s="559" t="str">
        <f aca="false">A346&amp;" "&amp;HLOOKUP($C$1,$E$1:$X$4910,ROW(D346))</f>
        <v>ARM Armenia </v>
      </c>
      <c r="E346" s="626" t="s">
        <v>2043</v>
      </c>
      <c r="F346" s="556" t="s">
        <v>2044</v>
      </c>
      <c r="G346" s="563" t="s">
        <v>2044</v>
      </c>
      <c r="H346" s="556" t="s">
        <v>274</v>
      </c>
      <c r="I346" s="556" t="s">
        <v>2045</v>
      </c>
      <c r="J346" s="556" t="str">
        <f aca="false">"[pt]"&amp;E346</f>
        <v>[pt]Armenien</v>
      </c>
      <c r="K346" s="556" t="str">
        <f aca="false">"[gr]"&amp;E346</f>
        <v>[gr]Armenien</v>
      </c>
      <c r="L346" s="627" t="s">
        <v>275</v>
      </c>
      <c r="M346" s="557" t="str">
        <f aca="false">IF(L346=A346,"","nix")</f>
        <v/>
      </c>
    </row>
    <row r="347" customFormat="false" ht="15.75" hidden="false" customHeight="true" outlineLevel="0" collapsed="false">
      <c r="A347" s="625" t="s">
        <v>278</v>
      </c>
      <c r="B347" s="576" t="s">
        <v>2046</v>
      </c>
      <c r="C347" s="625" t="s">
        <v>2047</v>
      </c>
      <c r="D347" s="559" t="str">
        <f aca="false">A347&amp;" "&amp;HLOOKUP($C$1,$E$1:$X$4910,ROW(D347))</f>
        <v>ASM American Samoa </v>
      </c>
      <c r="E347" s="626" t="s">
        <v>2048</v>
      </c>
      <c r="F347" s="556" t="s">
        <v>2049</v>
      </c>
      <c r="G347" s="563" t="s">
        <v>2050</v>
      </c>
      <c r="H347" s="556" t="s">
        <v>2051</v>
      </c>
      <c r="I347" s="556" t="s">
        <v>2052</v>
      </c>
      <c r="J347" s="556" t="str">
        <f aca="false">"[pt]"&amp;E347</f>
        <v>[pt]Amerikanisch-Samoa</v>
      </c>
      <c r="K347" s="556" t="str">
        <f aca="false">"[gr]"&amp;E347</f>
        <v>[gr]Amerikanisch-Samoa</v>
      </c>
      <c r="L347" s="627" t="s">
        <v>278</v>
      </c>
      <c r="M347" s="557" t="str">
        <f aca="false">IF(L347=A347,"","nix")</f>
        <v/>
      </c>
    </row>
    <row r="348" customFormat="false" ht="15.75" hidden="false" customHeight="true" outlineLevel="0" collapsed="false">
      <c r="A348" s="625" t="s">
        <v>280</v>
      </c>
      <c r="B348" s="576" t="s">
        <v>2053</v>
      </c>
      <c r="C348" s="625" t="s">
        <v>2054</v>
      </c>
      <c r="D348" s="559" t="str">
        <f aca="false">A348&amp;" "&amp;HLOOKUP($C$1,$E$1:$X$4910,ROW(D348))</f>
        <v>ATG Antigua and Barbuda </v>
      </c>
      <c r="E348" s="626" t="s">
        <v>2055</v>
      </c>
      <c r="F348" s="556" t="s">
        <v>2056</v>
      </c>
      <c r="G348" s="563" t="s">
        <v>2057</v>
      </c>
      <c r="H348" s="556" t="s">
        <v>2058</v>
      </c>
      <c r="I348" s="556" t="s">
        <v>2059</v>
      </c>
      <c r="J348" s="556" t="str">
        <f aca="false">"[pt]"&amp;E348</f>
        <v>[pt]Antigua und Barbuda</v>
      </c>
      <c r="K348" s="556" t="str">
        <f aca="false">"[gr]"&amp;E348</f>
        <v>[gr]Antigua und Barbuda</v>
      </c>
      <c r="L348" s="627" t="s">
        <v>280</v>
      </c>
      <c r="M348" s="557" t="str">
        <f aca="false">IF(L348=A348,"","nix")</f>
        <v/>
      </c>
    </row>
    <row r="349" customFormat="false" ht="15.75" hidden="false" customHeight="true" outlineLevel="0" collapsed="false">
      <c r="A349" s="625" t="s">
        <v>282</v>
      </c>
      <c r="B349" s="576" t="s">
        <v>2060</v>
      </c>
      <c r="C349" s="625" t="s">
        <v>2061</v>
      </c>
      <c r="D349" s="559" t="str">
        <f aca="false">A349&amp;" "&amp;HLOOKUP($C$1,$E$1:$X$4910,ROW(D349))</f>
        <v>AUS Australia </v>
      </c>
      <c r="E349" s="626" t="s">
        <v>2062</v>
      </c>
      <c r="F349" s="556" t="s">
        <v>2063</v>
      </c>
      <c r="G349" s="563" t="s">
        <v>2063</v>
      </c>
      <c r="H349" s="556" t="s">
        <v>281</v>
      </c>
      <c r="I349" s="556" t="s">
        <v>2064</v>
      </c>
      <c r="J349" s="556" t="str">
        <f aca="false">"[pt]"&amp;E349</f>
        <v>[pt]Australien</v>
      </c>
      <c r="K349" s="556" t="str">
        <f aca="false">"[gr]"&amp;E349</f>
        <v>[gr]Australien</v>
      </c>
      <c r="L349" s="627" t="s">
        <v>282</v>
      </c>
      <c r="M349" s="557" t="str">
        <f aca="false">IF(L349=A349,"","nix")</f>
        <v/>
      </c>
    </row>
    <row r="350" customFormat="false" ht="15.75" hidden="false" customHeight="true" outlineLevel="0" collapsed="false">
      <c r="A350" s="625" t="s">
        <v>284</v>
      </c>
      <c r="B350" s="576" t="s">
        <v>2065</v>
      </c>
      <c r="C350" s="625" t="s">
        <v>2066</v>
      </c>
      <c r="D350" s="559" t="str">
        <f aca="false">A350&amp;" "&amp;HLOOKUP($C$1,$E$1:$X$4910,ROW(D350))</f>
        <v>AUT Austria </v>
      </c>
      <c r="E350" s="626" t="s">
        <v>2067</v>
      </c>
      <c r="F350" s="556" t="s">
        <v>2068</v>
      </c>
      <c r="G350" s="563" t="s">
        <v>2068</v>
      </c>
      <c r="H350" s="556" t="s">
        <v>283</v>
      </c>
      <c r="I350" s="556" t="s">
        <v>2069</v>
      </c>
      <c r="J350" s="556" t="str">
        <f aca="false">"[pt]"&amp;E350</f>
        <v>[pt]Österreich</v>
      </c>
      <c r="K350" s="556" t="str">
        <f aca="false">"[gr]"&amp;E350</f>
        <v>[gr]Österreich</v>
      </c>
      <c r="L350" s="627" t="s">
        <v>284</v>
      </c>
      <c r="M350" s="557" t="str">
        <f aca="false">IF(L350=A350,"","nix")</f>
        <v/>
      </c>
    </row>
    <row r="351" customFormat="false" ht="15.75" hidden="false" customHeight="true" outlineLevel="0" collapsed="false">
      <c r="A351" s="625" t="s">
        <v>286</v>
      </c>
      <c r="B351" s="576" t="s">
        <v>2070</v>
      </c>
      <c r="C351" s="625" t="s">
        <v>2071</v>
      </c>
      <c r="D351" s="559" t="str">
        <f aca="false">A351&amp;" "&amp;HLOOKUP($C$1,$E$1:$X$4910,ROW(D351))</f>
        <v>AZE Azerbaijan </v>
      </c>
      <c r="E351" s="626" t="s">
        <v>2072</v>
      </c>
      <c r="F351" s="556" t="s">
        <v>2073</v>
      </c>
      <c r="G351" s="563" t="s">
        <v>2074</v>
      </c>
      <c r="H351" s="556" t="s">
        <v>2075</v>
      </c>
      <c r="I351" s="556" t="s">
        <v>2076</v>
      </c>
      <c r="J351" s="556" t="str">
        <f aca="false">"[pt]"&amp;E351</f>
        <v>[pt]Aserbaidschan</v>
      </c>
      <c r="K351" s="556" t="str">
        <f aca="false">"[gr]"&amp;E351</f>
        <v>[gr]Aserbaidschan</v>
      </c>
      <c r="L351" s="627" t="s">
        <v>286</v>
      </c>
      <c r="M351" s="557" t="str">
        <f aca="false">IF(L351=A351,"","nix")</f>
        <v/>
      </c>
    </row>
    <row r="352" customFormat="false" ht="15.75" hidden="false" customHeight="true" outlineLevel="0" collapsed="false">
      <c r="A352" s="625" t="s">
        <v>288</v>
      </c>
      <c r="B352" s="576" t="s">
        <v>2077</v>
      </c>
      <c r="C352" s="625" t="s">
        <v>2078</v>
      </c>
      <c r="D352" s="559" t="str">
        <f aca="false">A352&amp;" "&amp;HLOOKUP($C$1,$E$1:$X$4910,ROW(D352))</f>
        <v>BDI Burundi </v>
      </c>
      <c r="E352" s="626" t="s">
        <v>287</v>
      </c>
      <c r="F352" s="556" t="s">
        <v>2079</v>
      </c>
      <c r="G352" s="563" t="s">
        <v>2079</v>
      </c>
      <c r="H352" s="556" t="s">
        <v>287</v>
      </c>
      <c r="I352" s="556" t="s">
        <v>287</v>
      </c>
      <c r="J352" s="556" t="str">
        <f aca="false">"[pt]"&amp;E352</f>
        <v>[pt]Burundi</v>
      </c>
      <c r="K352" s="556" t="str">
        <f aca="false">"[gr]"&amp;E352</f>
        <v>[gr]Burundi</v>
      </c>
      <c r="L352" s="627" t="s">
        <v>288</v>
      </c>
      <c r="M352" s="557" t="str">
        <f aca="false">IF(L352=A352,"","nix")</f>
        <v/>
      </c>
    </row>
    <row r="353" customFormat="false" ht="15.75" hidden="false" customHeight="true" outlineLevel="0" collapsed="false">
      <c r="A353" s="625" t="s">
        <v>290</v>
      </c>
      <c r="B353" s="576" t="s">
        <v>2080</v>
      </c>
      <c r="C353" s="625" t="s">
        <v>2081</v>
      </c>
      <c r="D353" s="559" t="str">
        <f aca="false">A353&amp;" "&amp;HLOOKUP($C$1,$E$1:$X$4910,ROW(D353))</f>
        <v>BEL Belgium </v>
      </c>
      <c r="E353" s="626" t="s">
        <v>2082</v>
      </c>
      <c r="F353" s="556" t="s">
        <v>2083</v>
      </c>
      <c r="G353" s="563" t="s">
        <v>2084</v>
      </c>
      <c r="H353" s="556" t="s">
        <v>2085</v>
      </c>
      <c r="I353" s="556" t="s">
        <v>2086</v>
      </c>
      <c r="J353" s="556" t="str">
        <f aca="false">"[pt]"&amp;E353</f>
        <v>[pt]Belgien</v>
      </c>
      <c r="K353" s="556" t="str">
        <f aca="false">"[gr]"&amp;E353</f>
        <v>[gr]Belgien</v>
      </c>
      <c r="L353" s="627" t="s">
        <v>290</v>
      </c>
      <c r="M353" s="557" t="str">
        <f aca="false">IF(L353=A353,"","nix")</f>
        <v/>
      </c>
    </row>
    <row r="354" customFormat="false" ht="15.75" hidden="false" customHeight="true" outlineLevel="0" collapsed="false">
      <c r="A354" s="625" t="s">
        <v>292</v>
      </c>
      <c r="B354" s="576" t="s">
        <v>2087</v>
      </c>
      <c r="C354" s="625" t="s">
        <v>2088</v>
      </c>
      <c r="D354" s="559" t="str">
        <f aca="false">A354&amp;" "&amp;HLOOKUP($C$1,$E$1:$X$4910,ROW(D354))</f>
        <v>BEN Benin </v>
      </c>
      <c r="E354" s="626" t="s">
        <v>291</v>
      </c>
      <c r="F354" s="556" t="s">
        <v>2089</v>
      </c>
      <c r="G354" s="563" t="s">
        <v>2089</v>
      </c>
      <c r="H354" s="556" t="s">
        <v>2090</v>
      </c>
      <c r="I354" s="556" t="s">
        <v>2091</v>
      </c>
      <c r="J354" s="556" t="str">
        <f aca="false">"[pt]"&amp;E354</f>
        <v>[pt]Benin</v>
      </c>
      <c r="K354" s="556" t="str">
        <f aca="false">"[gr]"&amp;E354</f>
        <v>[gr]Benin</v>
      </c>
      <c r="L354" s="627" t="s">
        <v>292</v>
      </c>
      <c r="M354" s="557" t="str">
        <f aca="false">IF(L354=A354,"","nix")</f>
        <v/>
      </c>
    </row>
    <row r="355" customFormat="false" ht="15.75" hidden="false" customHeight="true" outlineLevel="0" collapsed="false">
      <c r="A355" s="625" t="s">
        <v>294</v>
      </c>
      <c r="B355" s="576" t="s">
        <v>2092</v>
      </c>
      <c r="C355" s="625" t="s">
        <v>2093</v>
      </c>
      <c r="D355" s="559" t="str">
        <f aca="false">A355&amp;" "&amp;HLOOKUP($C$1,$E$1:$X$4910,ROW(D355))</f>
        <v>BFA Burkina Faso </v>
      </c>
      <c r="E355" s="626" t="s">
        <v>293</v>
      </c>
      <c r="F355" s="556" t="s">
        <v>2094</v>
      </c>
      <c r="G355" s="563" t="s">
        <v>2094</v>
      </c>
      <c r="H355" s="556" t="s">
        <v>293</v>
      </c>
      <c r="I355" s="556" t="s">
        <v>293</v>
      </c>
      <c r="J355" s="556" t="str">
        <f aca="false">"[pt]"&amp;E355</f>
        <v>[pt]Burkina Faso</v>
      </c>
      <c r="K355" s="556" t="str">
        <f aca="false">"[gr]"&amp;E355</f>
        <v>[gr]Burkina Faso</v>
      </c>
      <c r="L355" s="627" t="s">
        <v>294</v>
      </c>
      <c r="M355" s="557" t="str">
        <f aca="false">IF(L355=A355,"","nix")</f>
        <v/>
      </c>
    </row>
    <row r="356" customFormat="false" ht="15.75" hidden="false" customHeight="true" outlineLevel="0" collapsed="false">
      <c r="A356" s="625" t="s">
        <v>296</v>
      </c>
      <c r="B356" s="576" t="s">
        <v>2095</v>
      </c>
      <c r="C356" s="625" t="s">
        <v>2096</v>
      </c>
      <c r="D356" s="559" t="str">
        <f aca="false">A356&amp;" "&amp;HLOOKUP($C$1,$E$1:$X$4910,ROW(D356))</f>
        <v>BGD Bangladesh </v>
      </c>
      <c r="E356" s="626" t="s">
        <v>2097</v>
      </c>
      <c r="F356" s="556" t="s">
        <v>2098</v>
      </c>
      <c r="G356" s="563" t="s">
        <v>2098</v>
      </c>
      <c r="H356" s="556" t="s">
        <v>2099</v>
      </c>
      <c r="I356" s="556" t="s">
        <v>295</v>
      </c>
      <c r="J356" s="556" t="str">
        <f aca="false">"[pt]"&amp;E356</f>
        <v>[pt]Bangladesch</v>
      </c>
      <c r="K356" s="556" t="str">
        <f aca="false">"[gr]"&amp;E356</f>
        <v>[gr]Bangladesch</v>
      </c>
      <c r="L356" s="627" t="s">
        <v>296</v>
      </c>
      <c r="M356" s="557" t="str">
        <f aca="false">IF(L356=A356,"","nix")</f>
        <v/>
      </c>
    </row>
    <row r="357" customFormat="false" ht="15.75" hidden="false" customHeight="true" outlineLevel="0" collapsed="false">
      <c r="A357" s="625" t="s">
        <v>298</v>
      </c>
      <c r="B357" s="576" t="s">
        <v>2100</v>
      </c>
      <c r="C357" s="625" t="s">
        <v>2101</v>
      </c>
      <c r="D357" s="559" t="str">
        <f aca="false">A357&amp;" "&amp;HLOOKUP($C$1,$E$1:$X$4910,ROW(D357))</f>
        <v>BGR Bulgaria </v>
      </c>
      <c r="E357" s="626" t="s">
        <v>2102</v>
      </c>
      <c r="F357" s="556" t="s">
        <v>2103</v>
      </c>
      <c r="G357" s="563" t="s">
        <v>2103</v>
      </c>
      <c r="H357" s="556" t="s">
        <v>297</v>
      </c>
      <c r="I357" s="556" t="s">
        <v>2104</v>
      </c>
      <c r="J357" s="556" t="str">
        <f aca="false">"[pt]"&amp;E357</f>
        <v>[pt]Bulgarien</v>
      </c>
      <c r="K357" s="556" t="str">
        <f aca="false">"[gr]"&amp;E357</f>
        <v>[gr]Bulgarien</v>
      </c>
      <c r="L357" s="627" t="s">
        <v>298</v>
      </c>
      <c r="M357" s="557" t="str">
        <f aca="false">IF(L357=A357,"","nix")</f>
        <v/>
      </c>
    </row>
    <row r="358" customFormat="false" ht="15.75" hidden="false" customHeight="true" outlineLevel="0" collapsed="false">
      <c r="A358" s="625" t="s">
        <v>300</v>
      </c>
      <c r="B358" s="576" t="s">
        <v>2105</v>
      </c>
      <c r="C358" s="625" t="s">
        <v>2106</v>
      </c>
      <c r="D358" s="559" t="str">
        <f aca="false">A358&amp;" "&amp;HLOOKUP($C$1,$E$1:$X$4910,ROW(D358))</f>
        <v>BHR Bahrain </v>
      </c>
      <c r="E358" s="626" t="s">
        <v>299</v>
      </c>
      <c r="F358" s="556" t="s">
        <v>2107</v>
      </c>
      <c r="G358" s="563" t="s">
        <v>2107</v>
      </c>
      <c r="H358" s="556" t="s">
        <v>2108</v>
      </c>
      <c r="I358" s="556" t="s">
        <v>2109</v>
      </c>
      <c r="J358" s="556" t="str">
        <f aca="false">"[pt]"&amp;E358</f>
        <v>[pt]Bahrain</v>
      </c>
      <c r="K358" s="556" t="str">
        <f aca="false">"[gr]"&amp;E358</f>
        <v>[gr]Bahrain</v>
      </c>
      <c r="L358" s="627" t="s">
        <v>300</v>
      </c>
      <c r="M358" s="557" t="str">
        <f aca="false">IF(L358=A358,"","nix")</f>
        <v/>
      </c>
    </row>
    <row r="359" customFormat="false" ht="15.75" hidden="false" customHeight="true" outlineLevel="0" collapsed="false">
      <c r="A359" s="625" t="s">
        <v>302</v>
      </c>
      <c r="B359" s="576" t="s">
        <v>2110</v>
      </c>
      <c r="C359" s="625" t="s">
        <v>2111</v>
      </c>
      <c r="D359" s="559" t="str">
        <f aca="false">A359&amp;" "&amp;HLOOKUP($C$1,$E$1:$X$4910,ROW(D359))</f>
        <v>BHS Bahamas </v>
      </c>
      <c r="E359" s="626" t="s">
        <v>2112</v>
      </c>
      <c r="F359" s="556" t="s">
        <v>2113</v>
      </c>
      <c r="G359" s="563" t="s">
        <v>2113</v>
      </c>
      <c r="H359" s="556" t="s">
        <v>2112</v>
      </c>
      <c r="I359" s="556" t="s">
        <v>2112</v>
      </c>
      <c r="J359" s="556" t="str">
        <f aca="false">"[pt]"&amp;E359</f>
        <v>[pt]Bahamas</v>
      </c>
      <c r="K359" s="556" t="str">
        <f aca="false">"[gr]"&amp;E359</f>
        <v>[gr]Bahamas</v>
      </c>
      <c r="L359" s="627" t="s">
        <v>302</v>
      </c>
      <c r="M359" s="557" t="str">
        <f aca="false">IF(L359=A359,"","nix")</f>
        <v/>
      </c>
    </row>
    <row r="360" customFormat="false" ht="15.75" hidden="false" customHeight="true" outlineLevel="0" collapsed="false">
      <c r="A360" s="625" t="s">
        <v>304</v>
      </c>
      <c r="B360" s="576" t="s">
        <v>2114</v>
      </c>
      <c r="C360" s="625" t="s">
        <v>2115</v>
      </c>
      <c r="D360" s="559" t="str">
        <f aca="false">A360&amp;" "&amp;HLOOKUP($C$1,$E$1:$X$4910,ROW(D360))</f>
        <v>BIH Bosnia and Herzegovina </v>
      </c>
      <c r="E360" s="626" t="s">
        <v>2116</v>
      </c>
      <c r="F360" s="556" t="s">
        <v>2117</v>
      </c>
      <c r="G360" s="563" t="s">
        <v>2118</v>
      </c>
      <c r="H360" s="556" t="s">
        <v>2119</v>
      </c>
      <c r="I360" s="556" t="s">
        <v>2120</v>
      </c>
      <c r="J360" s="556" t="str">
        <f aca="false">"[pt]"&amp;E360</f>
        <v>[pt]Bosnien und Herzegowina</v>
      </c>
      <c r="K360" s="556" t="str">
        <f aca="false">"[gr]"&amp;E360</f>
        <v>[gr]Bosnien und Herzegowina</v>
      </c>
      <c r="L360" s="627" t="s">
        <v>304</v>
      </c>
      <c r="M360" s="557" t="str">
        <f aca="false">IF(L360=A360,"","nix")</f>
        <v/>
      </c>
    </row>
    <row r="361" customFormat="false" ht="15.75" hidden="false" customHeight="true" outlineLevel="0" collapsed="false">
      <c r="A361" s="625" t="s">
        <v>306</v>
      </c>
      <c r="B361" s="576" t="s">
        <v>2121</v>
      </c>
      <c r="C361" s="625" t="s">
        <v>2122</v>
      </c>
      <c r="D361" s="559" t="str">
        <f aca="false">A361&amp;" "&amp;HLOOKUP($C$1,$E$1:$X$4910,ROW(D361))</f>
        <v>BLR Belarus </v>
      </c>
      <c r="E361" s="626" t="s">
        <v>305</v>
      </c>
      <c r="F361" s="556" t="s">
        <v>2123</v>
      </c>
      <c r="G361" s="563" t="s">
        <v>2124</v>
      </c>
      <c r="H361" s="556" t="s">
        <v>2125</v>
      </c>
      <c r="I361" s="556" t="s">
        <v>2126</v>
      </c>
      <c r="J361" s="556" t="str">
        <f aca="false">"[pt]"&amp;E361</f>
        <v>[pt]Belarus</v>
      </c>
      <c r="K361" s="556" t="str">
        <f aca="false">"[gr]"&amp;E361</f>
        <v>[gr]Belarus</v>
      </c>
      <c r="L361" s="627" t="s">
        <v>306</v>
      </c>
      <c r="M361" s="557" t="str">
        <f aca="false">IF(L361=A361,"","nix")</f>
        <v/>
      </c>
    </row>
    <row r="362" customFormat="false" ht="15.75" hidden="false" customHeight="true" outlineLevel="0" collapsed="false">
      <c r="A362" s="625" t="s">
        <v>308</v>
      </c>
      <c r="B362" s="576" t="s">
        <v>2127</v>
      </c>
      <c r="C362" s="625" t="s">
        <v>2128</v>
      </c>
      <c r="D362" s="559" t="str">
        <f aca="false">A362&amp;" "&amp;HLOOKUP($C$1,$E$1:$X$4910,ROW(D362))</f>
        <v>BLZ Belize </v>
      </c>
      <c r="E362" s="626" t="s">
        <v>307</v>
      </c>
      <c r="F362" s="556" t="s">
        <v>2129</v>
      </c>
      <c r="G362" s="563" t="s">
        <v>2129</v>
      </c>
      <c r="H362" s="556" t="s">
        <v>2130</v>
      </c>
      <c r="I362" s="556" t="s">
        <v>307</v>
      </c>
      <c r="J362" s="556" t="str">
        <f aca="false">"[pt]"&amp;E362</f>
        <v>[pt]Belize</v>
      </c>
      <c r="K362" s="556" t="str">
        <f aca="false">"[gr]"&amp;E362</f>
        <v>[gr]Belize</v>
      </c>
      <c r="L362" s="627" t="s">
        <v>308</v>
      </c>
      <c r="M362" s="557" t="str">
        <f aca="false">IF(L362=A362,"","nix")</f>
        <v/>
      </c>
    </row>
    <row r="363" customFormat="false" ht="15.75" hidden="false" customHeight="true" outlineLevel="0" collapsed="false">
      <c r="A363" s="625" t="s">
        <v>310</v>
      </c>
      <c r="B363" s="576" t="s">
        <v>2131</v>
      </c>
      <c r="C363" s="625" t="s">
        <v>2132</v>
      </c>
      <c r="D363" s="559" t="str">
        <f aca="false">A363&amp;" "&amp;HLOOKUP($C$1,$E$1:$X$4910,ROW(D363))</f>
        <v>BMU Bermuda </v>
      </c>
      <c r="E363" s="626" t="s">
        <v>309</v>
      </c>
      <c r="F363" s="556" t="s">
        <v>2133</v>
      </c>
      <c r="G363" s="563" t="s">
        <v>2133</v>
      </c>
      <c r="H363" s="556" t="s">
        <v>2134</v>
      </c>
      <c r="I363" s="556" t="s">
        <v>2135</v>
      </c>
      <c r="J363" s="556" t="str">
        <f aca="false">"[pt]"&amp;E363</f>
        <v>[pt]Bermuda</v>
      </c>
      <c r="K363" s="556" t="str">
        <f aca="false">"[gr]"&amp;E363</f>
        <v>[gr]Bermuda</v>
      </c>
      <c r="L363" s="627" t="s">
        <v>310</v>
      </c>
      <c r="M363" s="557" t="str">
        <f aca="false">IF(L363=A363,"","nix")</f>
        <v/>
      </c>
    </row>
    <row r="364" customFormat="false" ht="15.75" hidden="false" customHeight="true" outlineLevel="0" collapsed="false">
      <c r="A364" s="625" t="s">
        <v>312</v>
      </c>
      <c r="B364" s="576" t="s">
        <v>2136</v>
      </c>
      <c r="C364" s="625" t="s">
        <v>2137</v>
      </c>
      <c r="D364" s="559" t="str">
        <f aca="false">A364&amp;" "&amp;HLOOKUP($C$1,$E$1:$X$4910,ROW(D364))</f>
        <v>BOL Bolivia, Plurinational State of </v>
      </c>
      <c r="E364" s="626" t="s">
        <v>2138</v>
      </c>
      <c r="F364" s="556" t="s">
        <v>2139</v>
      </c>
      <c r="G364" s="563" t="s">
        <v>2140</v>
      </c>
      <c r="H364" s="556" t="s">
        <v>311</v>
      </c>
      <c r="I364" s="556" t="s">
        <v>2141</v>
      </c>
      <c r="J364" s="556" t="str">
        <f aca="false">"[pt]"&amp;E364</f>
        <v>[pt]Bolivien</v>
      </c>
      <c r="K364" s="556" t="str">
        <f aca="false">"[gr]"&amp;E364</f>
        <v>[gr]Bolivien</v>
      </c>
      <c r="L364" s="627" t="s">
        <v>312</v>
      </c>
      <c r="M364" s="557" t="str">
        <f aca="false">IF(L364=A364,"","nix")</f>
        <v/>
      </c>
    </row>
    <row r="365" customFormat="false" ht="15.75" hidden="false" customHeight="true" outlineLevel="0" collapsed="false">
      <c r="A365" s="625" t="s">
        <v>314</v>
      </c>
      <c r="B365" s="576" t="s">
        <v>2142</v>
      </c>
      <c r="C365" s="625" t="s">
        <v>2143</v>
      </c>
      <c r="D365" s="559" t="str">
        <f aca="false">A365&amp;" "&amp;HLOOKUP($C$1,$E$1:$X$4910,ROW(D365))</f>
        <v>BRA Brazil </v>
      </c>
      <c r="E365" s="626" t="s">
        <v>2144</v>
      </c>
      <c r="F365" s="556" t="s">
        <v>2145</v>
      </c>
      <c r="G365" s="563" t="s">
        <v>2146</v>
      </c>
      <c r="H365" s="556" t="s">
        <v>2147</v>
      </c>
      <c r="I365" s="556" t="s">
        <v>2148</v>
      </c>
      <c r="J365" s="556" t="str">
        <f aca="false">"[pt]"&amp;E365</f>
        <v>[pt]Brasilien</v>
      </c>
      <c r="K365" s="556" t="str">
        <f aca="false">"[gr]"&amp;E365</f>
        <v>[gr]Brasilien</v>
      </c>
      <c r="L365" s="627" t="s">
        <v>314</v>
      </c>
      <c r="M365" s="557" t="str">
        <f aca="false">IF(L365=A365,"","nix")</f>
        <v/>
      </c>
    </row>
    <row r="366" customFormat="false" ht="15.75" hidden="false" customHeight="true" outlineLevel="0" collapsed="false">
      <c r="A366" s="625" t="s">
        <v>316</v>
      </c>
      <c r="B366" s="576" t="s">
        <v>2149</v>
      </c>
      <c r="C366" s="625" t="s">
        <v>2150</v>
      </c>
      <c r="D366" s="559" t="str">
        <f aca="false">A366&amp;" "&amp;HLOOKUP($C$1,$E$1:$X$4910,ROW(D366))</f>
        <v>BRB Barbados </v>
      </c>
      <c r="E366" s="626" t="s">
        <v>315</v>
      </c>
      <c r="F366" s="556" t="s">
        <v>2151</v>
      </c>
      <c r="G366" s="563" t="s">
        <v>2151</v>
      </c>
      <c r="H366" s="556" t="s">
        <v>315</v>
      </c>
      <c r="I366" s="556" t="s">
        <v>2152</v>
      </c>
      <c r="J366" s="556" t="str">
        <f aca="false">"[pt]"&amp;E366</f>
        <v>[pt]Barbados</v>
      </c>
      <c r="K366" s="556" t="str">
        <f aca="false">"[gr]"&amp;E366</f>
        <v>[gr]Barbados</v>
      </c>
      <c r="L366" s="627" t="s">
        <v>316</v>
      </c>
      <c r="M366" s="557" t="str">
        <f aca="false">IF(L366=A366,"","nix")</f>
        <v/>
      </c>
    </row>
    <row r="367" customFormat="false" ht="15.75" hidden="false" customHeight="true" outlineLevel="0" collapsed="false">
      <c r="A367" s="625" t="s">
        <v>318</v>
      </c>
      <c r="B367" s="576" t="s">
        <v>2153</v>
      </c>
      <c r="C367" s="625" t="s">
        <v>2154</v>
      </c>
      <c r="D367" s="559" t="str">
        <f aca="false">A367&amp;" "&amp;HLOOKUP($C$1,$E$1:$X$4910,ROW(D367))</f>
        <v>BRN Brunei Darussalam </v>
      </c>
      <c r="E367" s="626" t="s">
        <v>317</v>
      </c>
      <c r="F367" s="556" t="s">
        <v>2155</v>
      </c>
      <c r="G367" s="563" t="s">
        <v>2156</v>
      </c>
      <c r="H367" s="556" t="s">
        <v>2157</v>
      </c>
      <c r="I367" s="556" t="s">
        <v>2158</v>
      </c>
      <c r="J367" s="556" t="str">
        <f aca="false">"[pt]"&amp;E367</f>
        <v>[pt]Brunei Darussalam</v>
      </c>
      <c r="K367" s="556" t="str">
        <f aca="false">"[gr]"&amp;E367</f>
        <v>[gr]Brunei Darussalam</v>
      </c>
      <c r="L367" s="627" t="s">
        <v>318</v>
      </c>
      <c r="M367" s="557" t="str">
        <f aca="false">IF(L367=A367,"","nix")</f>
        <v/>
      </c>
    </row>
    <row r="368" customFormat="false" ht="15.75" hidden="false" customHeight="true" outlineLevel="0" collapsed="false">
      <c r="A368" s="625" t="s">
        <v>320</v>
      </c>
      <c r="B368" s="576" t="s">
        <v>2159</v>
      </c>
      <c r="C368" s="625" t="s">
        <v>2160</v>
      </c>
      <c r="D368" s="559" t="str">
        <f aca="false">A368&amp;" "&amp;HLOOKUP($C$1,$E$1:$X$4910,ROW(D368))</f>
        <v>BTN Bhutan </v>
      </c>
      <c r="E368" s="626" t="s">
        <v>319</v>
      </c>
      <c r="F368" s="556" t="s">
        <v>2161</v>
      </c>
      <c r="G368" s="563" t="s">
        <v>2161</v>
      </c>
      <c r="H368" s="556" t="s">
        <v>2162</v>
      </c>
      <c r="I368" s="556" t="s">
        <v>2163</v>
      </c>
      <c r="J368" s="556" t="str">
        <f aca="false">"[pt]"&amp;E368</f>
        <v>[pt]Bhutan</v>
      </c>
      <c r="K368" s="556" t="str">
        <f aca="false">"[gr]"&amp;E368</f>
        <v>[gr]Bhutan</v>
      </c>
      <c r="L368" s="627" t="s">
        <v>320</v>
      </c>
      <c r="M368" s="557" t="str">
        <f aca="false">IF(L368=A368,"","nix")</f>
        <v/>
      </c>
    </row>
    <row r="369" customFormat="false" ht="15.75" hidden="false" customHeight="true" outlineLevel="0" collapsed="false">
      <c r="A369" s="625" t="s">
        <v>322</v>
      </c>
      <c r="B369" s="576" t="s">
        <v>2164</v>
      </c>
      <c r="C369" s="625" t="s">
        <v>2165</v>
      </c>
      <c r="D369" s="559" t="str">
        <f aca="false">A369&amp;" "&amp;HLOOKUP($C$1,$E$1:$X$4910,ROW(D369))</f>
        <v>BWA Botswana </v>
      </c>
      <c r="E369" s="626" t="s">
        <v>321</v>
      </c>
      <c r="F369" s="556" t="s">
        <v>2166</v>
      </c>
      <c r="G369" s="563" t="s">
        <v>2166</v>
      </c>
      <c r="H369" s="556" t="s">
        <v>2167</v>
      </c>
      <c r="I369" s="556" t="s">
        <v>321</v>
      </c>
      <c r="J369" s="556" t="str">
        <f aca="false">"[pt]"&amp;E369</f>
        <v>[pt]Botswana</v>
      </c>
      <c r="K369" s="556" t="str">
        <f aca="false">"[gr]"&amp;E369</f>
        <v>[gr]Botswana</v>
      </c>
      <c r="L369" s="627" t="s">
        <v>322</v>
      </c>
      <c r="M369" s="557" t="str">
        <f aca="false">IF(L369=A369,"","nix")</f>
        <v/>
      </c>
    </row>
    <row r="370" customFormat="false" ht="15.75" hidden="false" customHeight="true" outlineLevel="0" collapsed="false">
      <c r="A370" s="625" t="s">
        <v>324</v>
      </c>
      <c r="B370" s="576" t="s">
        <v>2168</v>
      </c>
      <c r="C370" s="625" t="s">
        <v>2169</v>
      </c>
      <c r="D370" s="559" t="str">
        <f aca="false">A370&amp;" "&amp;HLOOKUP($C$1,$E$1:$X$4910,ROW(D370))</f>
        <v>CAF Central African Republic </v>
      </c>
      <c r="E370" s="626" t="s">
        <v>2170</v>
      </c>
      <c r="F370" s="556" t="s">
        <v>2171</v>
      </c>
      <c r="G370" s="563" t="s">
        <v>2172</v>
      </c>
      <c r="H370" s="556" t="s">
        <v>2173</v>
      </c>
      <c r="I370" s="556" t="s">
        <v>2174</v>
      </c>
      <c r="J370" s="556" t="str">
        <f aca="false">"[pt]"&amp;E370</f>
        <v>[pt]Zentralafrikanische Republik</v>
      </c>
      <c r="K370" s="556" t="str">
        <f aca="false">"[gr]"&amp;E370</f>
        <v>[gr]Zentralafrikanische Republik</v>
      </c>
      <c r="L370" s="627" t="s">
        <v>324</v>
      </c>
      <c r="M370" s="557" t="str">
        <f aca="false">IF(L370=A370,"","nix")</f>
        <v/>
      </c>
    </row>
    <row r="371" customFormat="false" ht="15.75" hidden="false" customHeight="true" outlineLevel="0" collapsed="false">
      <c r="A371" s="625" t="s">
        <v>326</v>
      </c>
      <c r="B371" s="576" t="s">
        <v>2175</v>
      </c>
      <c r="C371" s="625" t="s">
        <v>2176</v>
      </c>
      <c r="D371" s="559" t="str">
        <f aca="false">A371&amp;" "&amp;HLOOKUP($C$1,$E$1:$X$4910,ROW(D371))</f>
        <v>CAN Canada </v>
      </c>
      <c r="E371" s="626" t="s">
        <v>2177</v>
      </c>
      <c r="F371" s="556" t="s">
        <v>2178</v>
      </c>
      <c r="G371" s="563" t="s">
        <v>2178</v>
      </c>
      <c r="H371" s="556" t="s">
        <v>2179</v>
      </c>
      <c r="I371" s="556" t="s">
        <v>325</v>
      </c>
      <c r="J371" s="556" t="str">
        <f aca="false">"[pt]"&amp;E371</f>
        <v>[pt]Kanada</v>
      </c>
      <c r="K371" s="556" t="str">
        <f aca="false">"[gr]"&amp;E371</f>
        <v>[gr]Kanada</v>
      </c>
      <c r="L371" s="627" t="s">
        <v>326</v>
      </c>
      <c r="M371" s="557" t="str">
        <f aca="false">IF(L371=A371,"","nix")</f>
        <v/>
      </c>
    </row>
    <row r="372" customFormat="false" ht="15.75" hidden="false" customHeight="true" outlineLevel="0" collapsed="false">
      <c r="A372" s="625" t="s">
        <v>328</v>
      </c>
      <c r="B372" s="576" t="s">
        <v>2180</v>
      </c>
      <c r="C372" s="625" t="s">
        <v>2181</v>
      </c>
      <c r="D372" s="559" t="str">
        <f aca="false">A372&amp;" "&amp;HLOOKUP($C$1,$E$1:$X$4910,ROW(D372))</f>
        <v>CHE Switzerland </v>
      </c>
      <c r="E372" s="626" t="s">
        <v>2182</v>
      </c>
      <c r="F372" s="556" t="s">
        <v>2183</v>
      </c>
      <c r="G372" s="563" t="s">
        <v>2184</v>
      </c>
      <c r="H372" s="556" t="s">
        <v>2185</v>
      </c>
      <c r="I372" s="556" t="s">
        <v>2186</v>
      </c>
      <c r="J372" s="556" t="str">
        <f aca="false">"[pt]"&amp;E372</f>
        <v>[pt]Schweiz (Confoederatio Helvetica)</v>
      </c>
      <c r="K372" s="556" t="str">
        <f aca="false">"[gr]"&amp;E372</f>
        <v>[gr]Schweiz (Confoederatio Helvetica)</v>
      </c>
      <c r="L372" s="627" t="s">
        <v>328</v>
      </c>
      <c r="M372" s="557" t="str">
        <f aca="false">IF(L372=A372,"","nix")</f>
        <v/>
      </c>
    </row>
    <row r="373" customFormat="false" ht="15.75" hidden="false" customHeight="true" outlineLevel="0" collapsed="false">
      <c r="A373" s="625" t="s">
        <v>330</v>
      </c>
      <c r="B373" s="576" t="s">
        <v>2187</v>
      </c>
      <c r="C373" s="625" t="s">
        <v>2188</v>
      </c>
      <c r="D373" s="559" t="str">
        <f aca="false">A373&amp;" "&amp;HLOOKUP($C$1,$E$1:$X$4910,ROW(D373))</f>
        <v>CHL Chile </v>
      </c>
      <c r="E373" s="626" t="s">
        <v>329</v>
      </c>
      <c r="F373" s="556" t="s">
        <v>2189</v>
      </c>
      <c r="G373" s="563" t="s">
        <v>2190</v>
      </c>
      <c r="H373" s="556" t="s">
        <v>329</v>
      </c>
      <c r="I373" s="556" t="s">
        <v>2191</v>
      </c>
      <c r="J373" s="556" t="str">
        <f aca="false">"[pt]"&amp;E373</f>
        <v>[pt]Chile</v>
      </c>
      <c r="K373" s="556" t="str">
        <f aca="false">"[gr]"&amp;E373</f>
        <v>[gr]Chile</v>
      </c>
      <c r="L373" s="627" t="s">
        <v>330</v>
      </c>
      <c r="M373" s="557" t="str">
        <f aca="false">IF(L373=A373,"","nix")</f>
        <v/>
      </c>
    </row>
    <row r="374" customFormat="false" ht="15.75" hidden="false" customHeight="true" outlineLevel="0" collapsed="false">
      <c r="A374" s="625" t="s">
        <v>332</v>
      </c>
      <c r="B374" s="576" t="s">
        <v>2192</v>
      </c>
      <c r="C374" s="625" t="s">
        <v>2193</v>
      </c>
      <c r="D374" s="559" t="str">
        <f aca="false">A374&amp;" "&amp;HLOOKUP($C$1,$E$1:$X$4910,ROW(D374))</f>
        <v>CHN China </v>
      </c>
      <c r="E374" s="626" t="s">
        <v>2194</v>
      </c>
      <c r="F374" s="556" t="s">
        <v>2195</v>
      </c>
      <c r="G374" s="563" t="s">
        <v>2196</v>
      </c>
      <c r="H374" s="556" t="s">
        <v>331</v>
      </c>
      <c r="I374" s="556" t="s">
        <v>2197</v>
      </c>
      <c r="J374" s="556" t="str">
        <f aca="false">"[pt]"&amp;E374</f>
        <v>[pt]China, Volksrepublik</v>
      </c>
      <c r="K374" s="556" t="str">
        <f aca="false">"[gr]"&amp;E374</f>
        <v>[gr]China, Volksrepublik</v>
      </c>
      <c r="L374" s="627" t="s">
        <v>332</v>
      </c>
      <c r="M374" s="557" t="str">
        <f aca="false">IF(L374=A374,"","nix")</f>
        <v/>
      </c>
    </row>
    <row r="375" customFormat="false" ht="15.75" hidden="false" customHeight="true" outlineLevel="0" collapsed="false">
      <c r="A375" s="625" t="s">
        <v>334</v>
      </c>
      <c r="B375" s="576" t="s">
        <v>2198</v>
      </c>
      <c r="C375" s="625" t="s">
        <v>2199</v>
      </c>
      <c r="D375" s="559" t="str">
        <f aca="false">A375&amp;" "&amp;HLOOKUP($C$1,$E$1:$X$4910,ROW(D375))</f>
        <v>CIV Côte d'Ivoire </v>
      </c>
      <c r="E375" s="626" t="s">
        <v>2200</v>
      </c>
      <c r="F375" s="556" t="s">
        <v>2201</v>
      </c>
      <c r="G375" s="563" t="s">
        <v>2202</v>
      </c>
      <c r="H375" s="556" t="s">
        <v>2203</v>
      </c>
      <c r="I375" s="556" t="s">
        <v>2204</v>
      </c>
      <c r="J375" s="556" t="str">
        <f aca="false">"[pt]"&amp;E375</f>
        <v>[pt]Côte d’Ivoire (Elfenbeinküste)</v>
      </c>
      <c r="K375" s="556" t="str">
        <f aca="false">"[gr]"&amp;E375</f>
        <v>[gr]Côte d’Ivoire (Elfenbeinküste)</v>
      </c>
      <c r="L375" s="627" t="s">
        <v>334</v>
      </c>
      <c r="M375" s="557" t="str">
        <f aca="false">IF(L375=A375,"","nix")</f>
        <v/>
      </c>
    </row>
    <row r="376" customFormat="false" ht="15.75" hidden="false" customHeight="true" outlineLevel="0" collapsed="false">
      <c r="A376" s="625" t="s">
        <v>336</v>
      </c>
      <c r="B376" s="576" t="s">
        <v>2205</v>
      </c>
      <c r="C376" s="625" t="s">
        <v>2206</v>
      </c>
      <c r="D376" s="559" t="str">
        <f aca="false">A376&amp;" "&amp;HLOOKUP($C$1,$E$1:$X$4910,ROW(D376))</f>
        <v>CMR Cameroon </v>
      </c>
      <c r="E376" s="626" t="s">
        <v>2207</v>
      </c>
      <c r="F376" s="556" t="s">
        <v>2208</v>
      </c>
      <c r="G376" s="563" t="s">
        <v>2209</v>
      </c>
      <c r="H376" s="556" t="s">
        <v>2210</v>
      </c>
      <c r="I376" s="556" t="s">
        <v>2211</v>
      </c>
      <c r="J376" s="556" t="str">
        <f aca="false">"[pt]"&amp;E376</f>
        <v>[pt]Kamerun</v>
      </c>
      <c r="K376" s="556" t="str">
        <f aca="false">"[gr]"&amp;E376</f>
        <v>[gr]Kamerun</v>
      </c>
      <c r="L376" s="627" t="s">
        <v>336</v>
      </c>
      <c r="M376" s="557" t="str">
        <f aca="false">IF(L376=A376,"","nix")</f>
        <v/>
      </c>
    </row>
    <row r="377" customFormat="false" ht="15.75" hidden="false" customHeight="true" outlineLevel="0" collapsed="false">
      <c r="A377" s="625" t="s">
        <v>338</v>
      </c>
      <c r="B377" s="576" t="s">
        <v>2212</v>
      </c>
      <c r="C377" s="625" t="s">
        <v>2213</v>
      </c>
      <c r="D377" s="559" t="str">
        <f aca="false">A377&amp;" "&amp;HLOOKUP($C$1,$E$1:$X$4910,ROW(D377))</f>
        <v>COD Congo, the Democratic Republic of the </v>
      </c>
      <c r="E377" s="626" t="s">
        <v>2214</v>
      </c>
      <c r="F377" s="556" t="s">
        <v>2215</v>
      </c>
      <c r="G377" s="563" t="s">
        <v>2216</v>
      </c>
      <c r="H377" s="556" t="s">
        <v>2217</v>
      </c>
      <c r="I377" s="556" t="s">
        <v>2218</v>
      </c>
      <c r="J377" s="556" t="str">
        <f aca="false">"[pt]"&amp;E377</f>
        <v>[pt]Kongo, Demokratische Republik (ehem. Zaire)</v>
      </c>
      <c r="K377" s="556" t="str">
        <f aca="false">"[gr]"&amp;E377</f>
        <v>[gr]Kongo, Demokratische Republik (ehem. Zaire)</v>
      </c>
      <c r="L377" s="627" t="s">
        <v>338</v>
      </c>
      <c r="M377" s="557" t="str">
        <f aca="false">IF(L377=A377,"","nix")</f>
        <v/>
      </c>
    </row>
    <row r="378" customFormat="false" ht="15.75" hidden="false" customHeight="true" outlineLevel="0" collapsed="false">
      <c r="A378" s="625" t="s">
        <v>340</v>
      </c>
      <c r="B378" s="576" t="s">
        <v>2219</v>
      </c>
      <c r="C378" s="625" t="s">
        <v>2220</v>
      </c>
      <c r="D378" s="559" t="str">
        <f aca="false">A378&amp;" "&amp;HLOOKUP($C$1,$E$1:$X$4910,ROW(D378))</f>
        <v>COG Congo </v>
      </c>
      <c r="E378" s="626" t="s">
        <v>2221</v>
      </c>
      <c r="F378" s="556" t="s">
        <v>2222</v>
      </c>
      <c r="G378" s="563" t="s">
        <v>2223</v>
      </c>
      <c r="H378" s="556" t="s">
        <v>2224</v>
      </c>
      <c r="I378" s="556" t="s">
        <v>2225</v>
      </c>
      <c r="J378" s="556" t="str">
        <f aca="false">"[pt]"&amp;E378</f>
        <v>[pt]Republik Kongo</v>
      </c>
      <c r="K378" s="556" t="str">
        <f aca="false">"[gr]"&amp;E378</f>
        <v>[gr]Republik Kongo</v>
      </c>
      <c r="L378" s="627" t="s">
        <v>340</v>
      </c>
      <c r="M378" s="557" t="str">
        <f aca="false">IF(L378=A378,"","nix")</f>
        <v/>
      </c>
    </row>
    <row r="379" customFormat="false" ht="15.75" hidden="false" customHeight="true" outlineLevel="0" collapsed="false">
      <c r="A379" s="625" t="s">
        <v>342</v>
      </c>
      <c r="B379" s="576" t="s">
        <v>2226</v>
      </c>
      <c r="C379" s="625" t="s">
        <v>2227</v>
      </c>
      <c r="D379" s="559" t="str">
        <f aca="false">A379&amp;" "&amp;HLOOKUP($C$1,$E$1:$X$4910,ROW(D379))</f>
        <v>COL Colombia </v>
      </c>
      <c r="E379" s="626" t="s">
        <v>2228</v>
      </c>
      <c r="F379" s="556" t="s">
        <v>2229</v>
      </c>
      <c r="G379" s="563" t="s">
        <v>2229</v>
      </c>
      <c r="H379" s="556" t="s">
        <v>341</v>
      </c>
      <c r="I379" s="556" t="s">
        <v>2230</v>
      </c>
      <c r="J379" s="556" t="str">
        <f aca="false">"[pt]"&amp;E379</f>
        <v>[pt]Kolumbien</v>
      </c>
      <c r="K379" s="556" t="str">
        <f aca="false">"[gr]"&amp;E379</f>
        <v>[gr]Kolumbien</v>
      </c>
      <c r="L379" s="627" t="s">
        <v>342</v>
      </c>
      <c r="M379" s="557" t="str">
        <f aca="false">IF(L379=A379,"","nix")</f>
        <v/>
      </c>
    </row>
    <row r="380" customFormat="false" ht="15.75" hidden="false" customHeight="true" outlineLevel="0" collapsed="false">
      <c r="A380" s="625" t="s">
        <v>344</v>
      </c>
      <c r="B380" s="576" t="s">
        <v>2231</v>
      </c>
      <c r="C380" s="625" t="s">
        <v>2232</v>
      </c>
      <c r="D380" s="559" t="str">
        <f aca="false">A380&amp;" "&amp;HLOOKUP($C$1,$E$1:$X$4910,ROW(D380))</f>
        <v>COM Comoros </v>
      </c>
      <c r="E380" s="626" t="s">
        <v>2233</v>
      </c>
      <c r="F380" s="556" t="s">
        <v>2234</v>
      </c>
      <c r="G380" s="563" t="s">
        <v>2235</v>
      </c>
      <c r="H380" s="556" t="s">
        <v>2236</v>
      </c>
      <c r="I380" s="556" t="s">
        <v>2237</v>
      </c>
      <c r="J380" s="556" t="str">
        <f aca="false">"[pt]"&amp;E380</f>
        <v>[pt]Komoren</v>
      </c>
      <c r="K380" s="556" t="str">
        <f aca="false">"[gr]"&amp;E380</f>
        <v>[gr]Komoren</v>
      </c>
      <c r="L380" s="627" t="s">
        <v>344</v>
      </c>
      <c r="M380" s="557" t="str">
        <f aca="false">IF(L380=A380,"","nix")</f>
        <v/>
      </c>
    </row>
    <row r="381" customFormat="false" ht="15.75" hidden="false" customHeight="true" outlineLevel="0" collapsed="false">
      <c r="A381" s="625" t="s">
        <v>346</v>
      </c>
      <c r="B381" s="576" t="s">
        <v>2238</v>
      </c>
      <c r="C381" s="625" t="s">
        <v>2239</v>
      </c>
      <c r="D381" s="559" t="str">
        <f aca="false">A381&amp;" "&amp;HLOOKUP($C$1,$E$1:$X$4910,ROW(D381))</f>
        <v>CPV Cape Verde </v>
      </c>
      <c r="E381" s="626" t="s">
        <v>2240</v>
      </c>
      <c r="F381" s="556" t="s">
        <v>2241</v>
      </c>
      <c r="G381" s="563" t="s">
        <v>2242</v>
      </c>
      <c r="H381" s="556" t="s">
        <v>345</v>
      </c>
      <c r="I381" s="556" t="s">
        <v>2243</v>
      </c>
      <c r="J381" s="556" t="str">
        <f aca="false">"[pt]"&amp;E381</f>
        <v>[pt]Kap Verde</v>
      </c>
      <c r="K381" s="556" t="str">
        <f aca="false">"[gr]"&amp;E381</f>
        <v>[gr]Kap Verde</v>
      </c>
      <c r="L381" s="627" t="s">
        <v>346</v>
      </c>
      <c r="M381" s="557" t="str">
        <f aca="false">IF(L381=A381,"","nix")</f>
        <v/>
      </c>
    </row>
    <row r="382" customFormat="false" ht="15.75" hidden="false" customHeight="true" outlineLevel="0" collapsed="false">
      <c r="A382" s="625" t="s">
        <v>348</v>
      </c>
      <c r="B382" s="576" t="s">
        <v>2244</v>
      </c>
      <c r="C382" s="625" t="s">
        <v>2245</v>
      </c>
      <c r="D382" s="559" t="str">
        <f aca="false">A382&amp;" "&amp;HLOOKUP($C$1,$E$1:$X$4910,ROW(D382))</f>
        <v>CRI Costa Rica </v>
      </c>
      <c r="E382" s="626" t="s">
        <v>347</v>
      </c>
      <c r="F382" s="556" t="s">
        <v>2246</v>
      </c>
      <c r="G382" s="563" t="s">
        <v>2246</v>
      </c>
      <c r="H382" s="556" t="s">
        <v>347</v>
      </c>
      <c r="I382" s="556" t="s">
        <v>347</v>
      </c>
      <c r="J382" s="556" t="str">
        <f aca="false">"[pt]"&amp;E382</f>
        <v>[pt]Costa Rica</v>
      </c>
      <c r="K382" s="556" t="str">
        <f aca="false">"[gr]"&amp;E382</f>
        <v>[gr]Costa Rica</v>
      </c>
      <c r="L382" s="627" t="s">
        <v>348</v>
      </c>
      <c r="M382" s="557" t="str">
        <f aca="false">IF(L382=A382,"","nix")</f>
        <v/>
      </c>
    </row>
    <row r="383" customFormat="false" ht="15.75" hidden="false" customHeight="true" outlineLevel="0" collapsed="false">
      <c r="A383" s="625" t="s">
        <v>350</v>
      </c>
      <c r="B383" s="576" t="s">
        <v>2247</v>
      </c>
      <c r="C383" s="625" t="s">
        <v>2248</v>
      </c>
      <c r="D383" s="559" t="str">
        <f aca="false">A383&amp;" "&amp;HLOOKUP($C$1,$E$1:$X$4910,ROW(D383))</f>
        <v>CUB Cuba </v>
      </c>
      <c r="E383" s="626" t="s">
        <v>2249</v>
      </c>
      <c r="F383" s="556" t="s">
        <v>2250</v>
      </c>
      <c r="G383" s="563" t="s">
        <v>2250</v>
      </c>
      <c r="H383" s="556" t="s">
        <v>349</v>
      </c>
      <c r="I383" s="556" t="s">
        <v>349</v>
      </c>
      <c r="J383" s="556" t="str">
        <f aca="false">"[pt]"&amp;E383</f>
        <v>[pt]Kuba</v>
      </c>
      <c r="K383" s="556" t="str">
        <f aca="false">"[gr]"&amp;E383</f>
        <v>[gr]Kuba</v>
      </c>
      <c r="L383" s="627" t="s">
        <v>350</v>
      </c>
      <c r="M383" s="557" t="str">
        <f aca="false">IF(L383=A383,"","nix")</f>
        <v/>
      </c>
    </row>
    <row r="384" customFormat="false" ht="15.75" hidden="false" customHeight="true" outlineLevel="0" collapsed="false">
      <c r="A384" s="625" t="s">
        <v>352</v>
      </c>
      <c r="B384" s="576" t="s">
        <v>2251</v>
      </c>
      <c r="C384" s="625" t="s">
        <v>2252</v>
      </c>
      <c r="D384" s="559" t="str">
        <f aca="false">A384&amp;" "&amp;HLOOKUP($C$1,$E$1:$X$4910,ROW(D384))</f>
        <v>CUW Curaçao </v>
      </c>
      <c r="E384" s="555" t="s">
        <v>2253</v>
      </c>
      <c r="F384" s="556" t="s">
        <v>2254</v>
      </c>
      <c r="G384" s="563" t="s">
        <v>2254</v>
      </c>
      <c r="H384" s="556" t="s">
        <v>2255</v>
      </c>
      <c r="I384" s="556" t="s">
        <v>2253</v>
      </c>
      <c r="J384" s="556" t="str">
        <f aca="false">"[pt]"&amp;E384</f>
        <v>[pt]Curaçao</v>
      </c>
      <c r="K384" s="556" t="str">
        <f aca="false">"[gr]"&amp;E384</f>
        <v>[gr]Curaçao</v>
      </c>
      <c r="L384" s="627" t="s">
        <v>352</v>
      </c>
      <c r="M384" s="557" t="str">
        <f aca="false">IF(L384=A384,"","nix")</f>
        <v/>
      </c>
    </row>
    <row r="385" customFormat="false" ht="15.75" hidden="false" customHeight="true" outlineLevel="0" collapsed="false">
      <c r="A385" s="625" t="s">
        <v>354</v>
      </c>
      <c r="B385" s="576" t="s">
        <v>2256</v>
      </c>
      <c r="C385" s="625" t="s">
        <v>2257</v>
      </c>
      <c r="D385" s="559" t="str">
        <f aca="false">A385&amp;" "&amp;HLOOKUP($C$1,$E$1:$X$4910,ROW(D385))</f>
        <v>CYM Cayman Islands </v>
      </c>
      <c r="E385" s="626" t="s">
        <v>2258</v>
      </c>
      <c r="F385" s="556" t="s">
        <v>2259</v>
      </c>
      <c r="G385" s="563" t="s">
        <v>2260</v>
      </c>
      <c r="H385" s="556" t="s">
        <v>2261</v>
      </c>
      <c r="I385" s="556" t="s">
        <v>2262</v>
      </c>
      <c r="J385" s="556" t="str">
        <f aca="false">"[pt]"&amp;E385</f>
        <v>[pt]Kaimaninseln</v>
      </c>
      <c r="K385" s="556" t="str">
        <f aca="false">"[gr]"&amp;E385</f>
        <v>[gr]Kaimaninseln</v>
      </c>
      <c r="L385" s="627" t="s">
        <v>354</v>
      </c>
      <c r="M385" s="557" t="str">
        <f aca="false">IF(L385=A385,"","nix")</f>
        <v/>
      </c>
    </row>
    <row r="386" customFormat="false" ht="15.75" hidden="false" customHeight="true" outlineLevel="0" collapsed="false">
      <c r="A386" s="625" t="s">
        <v>356</v>
      </c>
      <c r="B386" s="576" t="s">
        <v>2263</v>
      </c>
      <c r="C386" s="625" t="s">
        <v>2264</v>
      </c>
      <c r="D386" s="559" t="str">
        <f aca="false">A386&amp;" "&amp;HLOOKUP($C$1,$E$1:$X$4910,ROW(D386))</f>
        <v>CYP Cyprus </v>
      </c>
      <c r="E386" s="626" t="s">
        <v>2265</v>
      </c>
      <c r="F386" s="556" t="s">
        <v>2266</v>
      </c>
      <c r="G386" s="563" t="s">
        <v>2267</v>
      </c>
      <c r="H386" s="556" t="s">
        <v>2268</v>
      </c>
      <c r="I386" s="556" t="s">
        <v>2269</v>
      </c>
      <c r="J386" s="556" t="str">
        <f aca="false">"[pt]"&amp;E386</f>
        <v>[pt]Zypern</v>
      </c>
      <c r="K386" s="556" t="str">
        <f aca="false">"[gr]"&amp;E386</f>
        <v>[gr]Zypern</v>
      </c>
      <c r="L386" s="627" t="s">
        <v>356</v>
      </c>
      <c r="M386" s="557" t="str">
        <f aca="false">IF(L386=A386,"","nix")</f>
        <v/>
      </c>
    </row>
    <row r="387" customFormat="false" ht="15.75" hidden="false" customHeight="true" outlineLevel="0" collapsed="false">
      <c r="A387" s="625" t="s">
        <v>358</v>
      </c>
      <c r="B387" s="576" t="s">
        <v>2270</v>
      </c>
      <c r="C387" s="625" t="s">
        <v>2271</v>
      </c>
      <c r="D387" s="559" t="str">
        <f aca="false">A387&amp;" "&amp;HLOOKUP($C$1,$E$1:$X$4910,ROW(D387))</f>
        <v>CZE Czech Republic </v>
      </c>
      <c r="E387" s="626" t="s">
        <v>2272</v>
      </c>
      <c r="F387" s="556" t="s">
        <v>2273</v>
      </c>
      <c r="G387" s="563" t="s">
        <v>2274</v>
      </c>
      <c r="H387" s="556" t="s">
        <v>2275</v>
      </c>
      <c r="I387" s="556" t="s">
        <v>2276</v>
      </c>
      <c r="J387" s="556" t="str">
        <f aca="false">"[pt]"&amp;E387</f>
        <v>[pt]Tschechische Republik</v>
      </c>
      <c r="K387" s="556" t="str">
        <f aca="false">"[gr]"&amp;E387</f>
        <v>[gr]Tschechische Republik</v>
      </c>
      <c r="L387" s="627" t="s">
        <v>358</v>
      </c>
      <c r="M387" s="557" t="str">
        <f aca="false">IF(L387=A387,"","nix")</f>
        <v/>
      </c>
    </row>
    <row r="388" customFormat="false" ht="15.75" hidden="false" customHeight="true" outlineLevel="0" collapsed="false">
      <c r="A388" s="625" t="s">
        <v>360</v>
      </c>
      <c r="B388" s="576" t="s">
        <v>2277</v>
      </c>
      <c r="C388" s="625" t="s">
        <v>2278</v>
      </c>
      <c r="D388" s="559" t="str">
        <f aca="false">A388&amp;" "&amp;HLOOKUP($C$1,$E$1:$X$4910,ROW(D388))</f>
        <v>DEU Germany </v>
      </c>
      <c r="E388" s="626" t="s">
        <v>2279</v>
      </c>
      <c r="F388" s="556" t="s">
        <v>2280</v>
      </c>
      <c r="G388" s="563" t="s">
        <v>2281</v>
      </c>
      <c r="H388" s="556" t="s">
        <v>2282</v>
      </c>
      <c r="I388" s="556" t="s">
        <v>2283</v>
      </c>
      <c r="J388" s="556" t="str">
        <f aca="false">"[pt]"&amp;E388</f>
        <v>[pt]Deutschland</v>
      </c>
      <c r="K388" s="556" t="str">
        <f aca="false">"[gr]"&amp;E388</f>
        <v>[gr]Deutschland</v>
      </c>
      <c r="L388" s="627" t="s">
        <v>360</v>
      </c>
      <c r="M388" s="557" t="str">
        <f aca="false">IF(L388=A388,"","nix")</f>
        <v/>
      </c>
    </row>
    <row r="389" customFormat="false" ht="15.75" hidden="false" customHeight="true" outlineLevel="0" collapsed="false">
      <c r="A389" s="625" t="s">
        <v>362</v>
      </c>
      <c r="B389" s="576" t="s">
        <v>2284</v>
      </c>
      <c r="C389" s="625" t="s">
        <v>2285</v>
      </c>
      <c r="D389" s="559" t="str">
        <f aca="false">A389&amp;" "&amp;HLOOKUP($C$1,$E$1:$X$4910,ROW(D389))</f>
        <v>DJI Djibouti </v>
      </c>
      <c r="E389" s="626" t="s">
        <v>2286</v>
      </c>
      <c r="F389" s="556" t="s">
        <v>2287</v>
      </c>
      <c r="G389" s="563" t="s">
        <v>2288</v>
      </c>
      <c r="H389" s="556" t="s">
        <v>2289</v>
      </c>
      <c r="I389" s="556" t="s">
        <v>361</v>
      </c>
      <c r="J389" s="556" t="str">
        <f aca="false">"[pt]"&amp;E389</f>
        <v>[pt]Dschibuti</v>
      </c>
      <c r="K389" s="556" t="str">
        <f aca="false">"[gr]"&amp;E389</f>
        <v>[gr]Dschibuti</v>
      </c>
      <c r="L389" s="627" t="s">
        <v>362</v>
      </c>
      <c r="M389" s="557" t="str">
        <f aca="false">IF(L389=A389,"","nix")</f>
        <v/>
      </c>
    </row>
    <row r="390" customFormat="false" ht="15.75" hidden="false" customHeight="true" outlineLevel="0" collapsed="false">
      <c r="A390" s="625" t="s">
        <v>364</v>
      </c>
      <c r="B390" s="576" t="s">
        <v>2290</v>
      </c>
      <c r="C390" s="625" t="s">
        <v>2291</v>
      </c>
      <c r="D390" s="559" t="str">
        <f aca="false">A390&amp;" "&amp;HLOOKUP($C$1,$E$1:$X$4910,ROW(D390))</f>
        <v>DMA Dominica </v>
      </c>
      <c r="E390" s="626" t="s">
        <v>363</v>
      </c>
      <c r="F390" s="556" t="s">
        <v>2292</v>
      </c>
      <c r="G390" s="563" t="s">
        <v>2292</v>
      </c>
      <c r="H390" s="556" t="s">
        <v>363</v>
      </c>
      <c r="I390" s="556" t="s">
        <v>2293</v>
      </c>
      <c r="J390" s="556" t="str">
        <f aca="false">"[pt]"&amp;E390</f>
        <v>[pt]Dominica</v>
      </c>
      <c r="K390" s="556" t="str">
        <f aca="false">"[gr]"&amp;E390</f>
        <v>[gr]Dominica</v>
      </c>
      <c r="L390" s="627" t="s">
        <v>364</v>
      </c>
      <c r="M390" s="557" t="str">
        <f aca="false">IF(L390=A390,"","nix")</f>
        <v/>
      </c>
    </row>
    <row r="391" customFormat="false" ht="15.75" hidden="false" customHeight="true" outlineLevel="0" collapsed="false">
      <c r="A391" s="625" t="s">
        <v>366</v>
      </c>
      <c r="B391" s="576" t="s">
        <v>2294</v>
      </c>
      <c r="C391" s="625" t="s">
        <v>2295</v>
      </c>
      <c r="D391" s="559" t="str">
        <f aca="false">A391&amp;" "&amp;HLOOKUP($C$1,$E$1:$X$4910,ROW(D391))</f>
        <v>DNK Denmark </v>
      </c>
      <c r="E391" s="626" t="s">
        <v>2296</v>
      </c>
      <c r="F391" s="556" t="s">
        <v>2297</v>
      </c>
      <c r="G391" s="563" t="s">
        <v>2298</v>
      </c>
      <c r="H391" s="556" t="s">
        <v>2299</v>
      </c>
      <c r="I391" s="556" t="s">
        <v>2300</v>
      </c>
      <c r="J391" s="556" t="str">
        <f aca="false">"[pt]"&amp;E391</f>
        <v>[pt]Dänemark</v>
      </c>
      <c r="K391" s="556" t="str">
        <f aca="false">"[gr]"&amp;E391</f>
        <v>[gr]Dänemark</v>
      </c>
      <c r="L391" s="627" t="s">
        <v>366</v>
      </c>
      <c r="M391" s="557" t="str">
        <f aca="false">IF(L391=A391,"","nix")</f>
        <v/>
      </c>
    </row>
    <row r="392" customFormat="false" ht="15.75" hidden="false" customHeight="true" outlineLevel="0" collapsed="false">
      <c r="A392" s="625" t="s">
        <v>368</v>
      </c>
      <c r="B392" s="576" t="s">
        <v>2301</v>
      </c>
      <c r="C392" s="625" t="s">
        <v>2302</v>
      </c>
      <c r="D392" s="559" t="str">
        <f aca="false">A392&amp;" "&amp;HLOOKUP($C$1,$E$1:$X$4910,ROW(D392))</f>
        <v>DOM Dominican Republic </v>
      </c>
      <c r="E392" s="626" t="s">
        <v>2303</v>
      </c>
      <c r="F392" s="556" t="s">
        <v>2304</v>
      </c>
      <c r="G392" s="563" t="s">
        <v>2305</v>
      </c>
      <c r="H392" s="556" t="s">
        <v>2306</v>
      </c>
      <c r="I392" s="556" t="s">
        <v>2307</v>
      </c>
      <c r="J392" s="556" t="str">
        <f aca="false">"[pt]"&amp;E392</f>
        <v>[pt]Dominikanische Republik</v>
      </c>
      <c r="K392" s="556" t="str">
        <f aca="false">"[gr]"&amp;E392</f>
        <v>[gr]Dominikanische Republik</v>
      </c>
      <c r="L392" s="627" t="s">
        <v>368</v>
      </c>
      <c r="M392" s="557" t="str">
        <f aca="false">IF(L392=A392,"","nix")</f>
        <v/>
      </c>
    </row>
    <row r="393" customFormat="false" ht="15.75" hidden="false" customHeight="true" outlineLevel="0" collapsed="false">
      <c r="A393" s="625" t="s">
        <v>370</v>
      </c>
      <c r="B393" s="576" t="s">
        <v>2308</v>
      </c>
      <c r="C393" s="625" t="s">
        <v>2309</v>
      </c>
      <c r="D393" s="559" t="str">
        <f aca="false">A393&amp;" "&amp;HLOOKUP($C$1,$E$1:$X$4910,ROW(D393))</f>
        <v>DZA Algeria </v>
      </c>
      <c r="E393" s="626" t="s">
        <v>2310</v>
      </c>
      <c r="F393" s="556" t="s">
        <v>2311</v>
      </c>
      <c r="G393" s="563" t="s">
        <v>2311</v>
      </c>
      <c r="H393" s="556" t="s">
        <v>2312</v>
      </c>
      <c r="I393" s="556" t="s">
        <v>2313</v>
      </c>
      <c r="J393" s="556" t="str">
        <f aca="false">"[pt]"&amp;E393</f>
        <v>[pt]Algerien</v>
      </c>
      <c r="K393" s="556" t="str">
        <f aca="false">"[gr]"&amp;E393</f>
        <v>[gr]Algerien</v>
      </c>
      <c r="L393" s="627" t="s">
        <v>370</v>
      </c>
      <c r="M393" s="557" t="str">
        <f aca="false">IF(L393=A393,"","nix")</f>
        <v/>
      </c>
    </row>
    <row r="394" customFormat="false" ht="15.75" hidden="false" customHeight="true" outlineLevel="0" collapsed="false">
      <c r="A394" s="625" t="s">
        <v>372</v>
      </c>
      <c r="B394" s="576" t="s">
        <v>2314</v>
      </c>
      <c r="C394" s="625" t="s">
        <v>2315</v>
      </c>
      <c r="D394" s="559" t="str">
        <f aca="false">A394&amp;" "&amp;HLOOKUP($C$1,$E$1:$X$4910,ROW(D394))</f>
        <v>ECU Ecuador </v>
      </c>
      <c r="E394" s="626" t="s">
        <v>371</v>
      </c>
      <c r="F394" s="556" t="s">
        <v>2316</v>
      </c>
      <c r="G394" s="563" t="s">
        <v>2316</v>
      </c>
      <c r="H394" s="556" t="s">
        <v>371</v>
      </c>
      <c r="I394" s="556" t="s">
        <v>2317</v>
      </c>
      <c r="J394" s="556" t="str">
        <f aca="false">"[pt]"&amp;E394</f>
        <v>[pt]Ecuador</v>
      </c>
      <c r="K394" s="556" t="str">
        <f aca="false">"[gr]"&amp;E394</f>
        <v>[gr]Ecuador</v>
      </c>
      <c r="L394" s="627" t="s">
        <v>372</v>
      </c>
      <c r="M394" s="557" t="str">
        <f aca="false">IF(L394=A394,"","nix")</f>
        <v/>
      </c>
    </row>
    <row r="395" customFormat="false" ht="15.75" hidden="false" customHeight="true" outlineLevel="0" collapsed="false">
      <c r="A395" s="625" t="s">
        <v>374</v>
      </c>
      <c r="B395" s="576" t="s">
        <v>2318</v>
      </c>
      <c r="C395" s="625" t="s">
        <v>2319</v>
      </c>
      <c r="D395" s="559" t="str">
        <f aca="false">A395&amp;" "&amp;HLOOKUP($C$1,$E$1:$X$4910,ROW(D395))</f>
        <v>EGY Egypt </v>
      </c>
      <c r="E395" s="626" t="s">
        <v>2320</v>
      </c>
      <c r="F395" s="556" t="s">
        <v>2321</v>
      </c>
      <c r="G395" s="563" t="s">
        <v>2322</v>
      </c>
      <c r="H395" s="556" t="s">
        <v>2323</v>
      </c>
      <c r="I395" s="556" t="s">
        <v>2324</v>
      </c>
      <c r="J395" s="556" t="str">
        <f aca="false">"[pt]"&amp;E395</f>
        <v>[pt]Ägypten</v>
      </c>
      <c r="K395" s="556" t="str">
        <f aca="false">"[gr]"&amp;E395</f>
        <v>[gr]Ägypten</v>
      </c>
      <c r="L395" s="627" t="s">
        <v>374</v>
      </c>
      <c r="M395" s="557" t="str">
        <f aca="false">IF(L395=A395,"","nix")</f>
        <v/>
      </c>
    </row>
    <row r="396" customFormat="false" ht="15.75" hidden="false" customHeight="true" outlineLevel="0" collapsed="false">
      <c r="A396" s="625" t="s">
        <v>376</v>
      </c>
      <c r="B396" s="576" t="s">
        <v>2325</v>
      </c>
      <c r="C396" s="625" t="s">
        <v>2326</v>
      </c>
      <c r="D396" s="559" t="str">
        <f aca="false">A396&amp;" "&amp;HLOOKUP($C$1,$E$1:$X$4910,ROW(D396))</f>
        <v>ERI Eritrea </v>
      </c>
      <c r="E396" s="626" t="s">
        <v>375</v>
      </c>
      <c r="F396" s="556" t="s">
        <v>2327</v>
      </c>
      <c r="G396" s="563" t="s">
        <v>2327</v>
      </c>
      <c r="H396" s="556" t="s">
        <v>375</v>
      </c>
      <c r="I396" s="556" t="s">
        <v>2328</v>
      </c>
      <c r="J396" s="556" t="str">
        <f aca="false">"[pt]"&amp;E396</f>
        <v>[pt]Eritrea</v>
      </c>
      <c r="K396" s="556" t="str">
        <f aca="false">"[gr]"&amp;E396</f>
        <v>[gr]Eritrea</v>
      </c>
      <c r="L396" s="627" t="s">
        <v>376</v>
      </c>
      <c r="M396" s="557" t="str">
        <f aca="false">IF(L396=A396,"","nix")</f>
        <v/>
      </c>
    </row>
    <row r="397" customFormat="false" ht="15.75" hidden="false" customHeight="true" outlineLevel="0" collapsed="false">
      <c r="A397" s="625" t="s">
        <v>378</v>
      </c>
      <c r="B397" s="576" t="s">
        <v>2329</v>
      </c>
      <c r="C397" s="625" t="s">
        <v>2330</v>
      </c>
      <c r="D397" s="559" t="str">
        <f aca="false">A397&amp;" "&amp;HLOOKUP($C$1,$E$1:$X$4910,ROW(D397))</f>
        <v>ESP Spain </v>
      </c>
      <c r="E397" s="626" t="s">
        <v>2331</v>
      </c>
      <c r="F397" s="556" t="s">
        <v>2332</v>
      </c>
      <c r="G397" s="563" t="s">
        <v>2333</v>
      </c>
      <c r="H397" s="556" t="s">
        <v>2334</v>
      </c>
      <c r="I397" s="556" t="s">
        <v>2335</v>
      </c>
      <c r="J397" s="556" t="str">
        <f aca="false">"[pt]"&amp;E397</f>
        <v>[pt]Spanien</v>
      </c>
      <c r="K397" s="556" t="str">
        <f aca="false">"[gr]"&amp;E397</f>
        <v>[gr]Spanien</v>
      </c>
      <c r="L397" s="627" t="s">
        <v>378</v>
      </c>
      <c r="M397" s="557" t="str">
        <f aca="false">IF(L397=A397,"","nix")</f>
        <v/>
      </c>
    </row>
    <row r="398" customFormat="false" ht="15.75" hidden="false" customHeight="true" outlineLevel="0" collapsed="false">
      <c r="A398" s="625" t="s">
        <v>380</v>
      </c>
      <c r="B398" s="576" t="s">
        <v>2336</v>
      </c>
      <c r="C398" s="625" t="s">
        <v>2337</v>
      </c>
      <c r="D398" s="559" t="str">
        <f aca="false">A398&amp;" "&amp;HLOOKUP($C$1,$E$1:$X$4910,ROW(D398))</f>
        <v>EST Estonia </v>
      </c>
      <c r="E398" s="626" t="s">
        <v>2338</v>
      </c>
      <c r="F398" s="556" t="s">
        <v>2339</v>
      </c>
      <c r="G398" s="563" t="s">
        <v>2339</v>
      </c>
      <c r="H398" s="556" t="s">
        <v>379</v>
      </c>
      <c r="I398" s="556" t="s">
        <v>2340</v>
      </c>
      <c r="J398" s="556" t="str">
        <f aca="false">"[pt]"&amp;E398</f>
        <v>[pt]Estland</v>
      </c>
      <c r="K398" s="556" t="str">
        <f aca="false">"[gr]"&amp;E398</f>
        <v>[gr]Estland</v>
      </c>
      <c r="L398" s="627" t="s">
        <v>380</v>
      </c>
      <c r="M398" s="557" t="str">
        <f aca="false">IF(L398=A398,"","nix")</f>
        <v/>
      </c>
    </row>
    <row r="399" customFormat="false" ht="15.75" hidden="false" customHeight="true" outlineLevel="0" collapsed="false">
      <c r="A399" s="625" t="s">
        <v>382</v>
      </c>
      <c r="B399" s="576" t="s">
        <v>2341</v>
      </c>
      <c r="C399" s="625" t="s">
        <v>2342</v>
      </c>
      <c r="D399" s="559" t="str">
        <f aca="false">A399&amp;" "&amp;HLOOKUP($C$1,$E$1:$X$4910,ROW(D399))</f>
        <v>ETH Ethiopia </v>
      </c>
      <c r="E399" s="626" t="s">
        <v>2343</v>
      </c>
      <c r="F399" s="556" t="s">
        <v>2344</v>
      </c>
      <c r="G399" s="563" t="s">
        <v>2345</v>
      </c>
      <c r="H399" s="556" t="s">
        <v>2346</v>
      </c>
      <c r="I399" s="556" t="s">
        <v>2347</v>
      </c>
      <c r="J399" s="556" t="str">
        <f aca="false">"[pt]"&amp;E399</f>
        <v>[pt]Äthiopien</v>
      </c>
      <c r="K399" s="556" t="str">
        <f aca="false">"[gr]"&amp;E399</f>
        <v>[gr]Äthiopien</v>
      </c>
      <c r="L399" s="627" t="s">
        <v>382</v>
      </c>
      <c r="M399" s="557" t="str">
        <f aca="false">IF(L399=A399,"","nix")</f>
        <v/>
      </c>
    </row>
    <row r="400" customFormat="false" ht="15.75" hidden="false" customHeight="true" outlineLevel="0" collapsed="false">
      <c r="A400" s="625" t="s">
        <v>384</v>
      </c>
      <c r="B400" s="576" t="s">
        <v>2348</v>
      </c>
      <c r="C400" s="625" t="s">
        <v>2349</v>
      </c>
      <c r="D400" s="559" t="str">
        <f aca="false">A400&amp;" "&amp;HLOOKUP($C$1,$E$1:$X$4910,ROW(D400))</f>
        <v>FIN Finland </v>
      </c>
      <c r="E400" s="626" t="s">
        <v>2350</v>
      </c>
      <c r="F400" s="556" t="s">
        <v>2351</v>
      </c>
      <c r="G400" s="563" t="s">
        <v>2352</v>
      </c>
      <c r="H400" s="556" t="s">
        <v>2353</v>
      </c>
      <c r="I400" s="556" t="s">
        <v>2354</v>
      </c>
      <c r="J400" s="556" t="str">
        <f aca="false">"[pt]"&amp;E400</f>
        <v>[pt]Finnland</v>
      </c>
      <c r="K400" s="556" t="str">
        <f aca="false">"[gr]"&amp;E400</f>
        <v>[gr]Finnland</v>
      </c>
      <c r="L400" s="627" t="s">
        <v>384</v>
      </c>
      <c r="M400" s="557" t="str">
        <f aca="false">IF(L400=A400,"","nix")</f>
        <v/>
      </c>
    </row>
    <row r="401" customFormat="false" ht="28.5" hidden="false" customHeight="true" outlineLevel="0" collapsed="false">
      <c r="A401" s="625" t="s">
        <v>386</v>
      </c>
      <c r="B401" s="576" t="s">
        <v>2355</v>
      </c>
      <c r="C401" s="625" t="s">
        <v>2356</v>
      </c>
      <c r="D401" s="559" t="str">
        <f aca="false">A401&amp;" "&amp;HLOOKUP($C$1,$E$1:$X$4910,ROW(D401))</f>
        <v>FJI Fiji </v>
      </c>
      <c r="E401" s="626" t="s">
        <v>2357</v>
      </c>
      <c r="F401" s="556" t="s">
        <v>2358</v>
      </c>
      <c r="G401" s="563" t="s">
        <v>2359</v>
      </c>
      <c r="H401" s="556" t="s">
        <v>2360</v>
      </c>
      <c r="I401" s="556" t="s">
        <v>385</v>
      </c>
      <c r="J401" s="556" t="str">
        <f aca="false">"[pt]"&amp;E401</f>
        <v>[pt]Fidschi</v>
      </c>
      <c r="K401" s="556" t="str">
        <f aca="false">"[gr]"&amp;E401</f>
        <v>[gr]Fidschi</v>
      </c>
      <c r="L401" s="627" t="s">
        <v>386</v>
      </c>
      <c r="M401" s="557" t="str">
        <f aca="false">IF(L401=A401,"","nix")</f>
        <v/>
      </c>
    </row>
    <row r="402" customFormat="false" ht="15.75" hidden="false" customHeight="true" outlineLevel="0" collapsed="false">
      <c r="A402" s="625" t="s">
        <v>388</v>
      </c>
      <c r="B402" s="576" t="s">
        <v>2361</v>
      </c>
      <c r="C402" s="625" t="s">
        <v>2362</v>
      </c>
      <c r="D402" s="559" t="str">
        <f aca="false">A402&amp;" "&amp;HLOOKUP($C$1,$E$1:$X$4910,ROW(D402))</f>
        <v>FRA France </v>
      </c>
      <c r="E402" s="626" t="s">
        <v>2363</v>
      </c>
      <c r="F402" s="556" t="s">
        <v>2364</v>
      </c>
      <c r="G402" s="563" t="s">
        <v>2365</v>
      </c>
      <c r="H402" s="556" t="s">
        <v>2366</v>
      </c>
      <c r="I402" s="556" t="s">
        <v>387</v>
      </c>
      <c r="J402" s="556" t="str">
        <f aca="false">"[pt]"&amp;E402</f>
        <v>[pt]Frankreich</v>
      </c>
      <c r="K402" s="556" t="str">
        <f aca="false">"[gr]"&amp;E402</f>
        <v>[gr]Frankreich</v>
      </c>
      <c r="L402" s="627" t="s">
        <v>388</v>
      </c>
      <c r="M402" s="557" t="str">
        <f aca="false">IF(L402=A402,"","nix")</f>
        <v/>
      </c>
    </row>
    <row r="403" customFormat="false" ht="15.75" hidden="false" customHeight="true" outlineLevel="0" collapsed="false">
      <c r="A403" s="625" t="s">
        <v>390</v>
      </c>
      <c r="B403" s="576" t="s">
        <v>2367</v>
      </c>
      <c r="C403" s="625" t="s">
        <v>2368</v>
      </c>
      <c r="D403" s="559" t="str">
        <f aca="false">A403&amp;" "&amp;HLOOKUP($C$1,$E$1:$X$4910,ROW(D403))</f>
        <v>FRO Faroe Islands </v>
      </c>
      <c r="E403" s="626" t="s">
        <v>2369</v>
      </c>
      <c r="F403" s="556" t="s">
        <v>2370</v>
      </c>
      <c r="G403" s="563" t="s">
        <v>2371</v>
      </c>
      <c r="H403" s="556" t="s">
        <v>2372</v>
      </c>
      <c r="I403" s="556" t="s">
        <v>2373</v>
      </c>
      <c r="J403" s="556" t="str">
        <f aca="false">"[pt]"&amp;E403</f>
        <v>[pt]Färöer</v>
      </c>
      <c r="K403" s="556" t="str">
        <f aca="false">"[gr]"&amp;E403</f>
        <v>[gr]Färöer</v>
      </c>
      <c r="L403" s="627" t="s">
        <v>390</v>
      </c>
      <c r="M403" s="557" t="str">
        <f aca="false">IF(L403=A403,"","nix")</f>
        <v/>
      </c>
    </row>
    <row r="404" customFormat="false" ht="15.75" hidden="false" customHeight="true" outlineLevel="0" collapsed="false">
      <c r="A404" s="625" t="s">
        <v>392</v>
      </c>
      <c r="B404" s="576" t="s">
        <v>2374</v>
      </c>
      <c r="C404" s="625" t="s">
        <v>2375</v>
      </c>
      <c r="D404" s="559" t="str">
        <f aca="false">A404&amp;" "&amp;HLOOKUP($C$1,$E$1:$X$4910,ROW(D404))</f>
        <v>FSM Micronesia, Federated States of </v>
      </c>
      <c r="E404" s="626" t="s">
        <v>2376</v>
      </c>
      <c r="F404" s="556" t="s">
        <v>2377</v>
      </c>
      <c r="G404" s="563" t="s">
        <v>2378</v>
      </c>
      <c r="H404" s="556" t="s">
        <v>2379</v>
      </c>
      <c r="I404" s="556" t="s">
        <v>2380</v>
      </c>
      <c r="J404" s="556" t="str">
        <f aca="false">"[pt]"&amp;E404</f>
        <v>[pt]Mikronesien</v>
      </c>
      <c r="K404" s="556" t="str">
        <f aca="false">"[gr]"&amp;E404</f>
        <v>[gr]Mikronesien</v>
      </c>
      <c r="L404" s="627" t="s">
        <v>392</v>
      </c>
      <c r="M404" s="557" t="str">
        <f aca="false">IF(L404=A404,"","nix")</f>
        <v/>
      </c>
    </row>
    <row r="405" customFormat="false" ht="15.75" hidden="false" customHeight="true" outlineLevel="0" collapsed="false">
      <c r="A405" s="625" t="s">
        <v>394</v>
      </c>
      <c r="B405" s="576" t="s">
        <v>2381</v>
      </c>
      <c r="C405" s="625" t="s">
        <v>2382</v>
      </c>
      <c r="D405" s="559" t="str">
        <f aca="false">A405&amp;" "&amp;HLOOKUP($C$1,$E$1:$X$4910,ROW(D405))</f>
        <v>GAB Gabon </v>
      </c>
      <c r="E405" s="626" t="s">
        <v>2383</v>
      </c>
      <c r="F405" s="556" t="s">
        <v>2384</v>
      </c>
      <c r="G405" s="563" t="s">
        <v>2384</v>
      </c>
      <c r="H405" s="556" t="s">
        <v>2385</v>
      </c>
      <c r="I405" s="556" t="s">
        <v>393</v>
      </c>
      <c r="J405" s="556" t="str">
        <f aca="false">"[pt]"&amp;E405</f>
        <v>[pt]Gabun</v>
      </c>
      <c r="K405" s="556" t="str">
        <f aca="false">"[gr]"&amp;E405</f>
        <v>[gr]Gabun</v>
      </c>
      <c r="L405" s="627" t="s">
        <v>394</v>
      </c>
      <c r="M405" s="557" t="str">
        <f aca="false">IF(L405=A405,"","nix")</f>
        <v/>
      </c>
    </row>
    <row r="406" customFormat="false" ht="15.75" hidden="false" customHeight="true" outlineLevel="0" collapsed="false">
      <c r="A406" s="625" t="s">
        <v>396</v>
      </c>
      <c r="B406" s="576" t="s">
        <v>2386</v>
      </c>
      <c r="C406" s="625" t="s">
        <v>2387</v>
      </c>
      <c r="D406" s="559" t="str">
        <f aca="false">A406&amp;" "&amp;HLOOKUP($C$1,$E$1:$X$4910,ROW(D406))</f>
        <v>GBR United Kingdom </v>
      </c>
      <c r="E406" s="626" t="s">
        <v>2388</v>
      </c>
      <c r="F406" s="556" t="s">
        <v>2389</v>
      </c>
      <c r="G406" s="563" t="s">
        <v>2390</v>
      </c>
      <c r="H406" s="556" t="s">
        <v>2391</v>
      </c>
      <c r="I406" s="556" t="s">
        <v>2392</v>
      </c>
      <c r="J406" s="556" t="str">
        <f aca="false">"[pt]"&amp;E406</f>
        <v>[pt]Vereinigtes Königreich Großbritannien und Nordirland</v>
      </c>
      <c r="K406" s="556" t="str">
        <f aca="false">"[gr]"&amp;E406</f>
        <v>[gr]Vereinigtes Königreich Großbritannien und Nordirland</v>
      </c>
      <c r="L406" s="627" t="s">
        <v>396</v>
      </c>
      <c r="M406" s="557" t="str">
        <f aca="false">IF(L406=A406,"","nix")</f>
        <v/>
      </c>
    </row>
    <row r="407" customFormat="false" ht="15.75" hidden="false" customHeight="true" outlineLevel="0" collapsed="false">
      <c r="A407" s="625" t="s">
        <v>398</v>
      </c>
      <c r="B407" s="576" t="s">
        <v>2393</v>
      </c>
      <c r="C407" s="625" t="s">
        <v>2394</v>
      </c>
      <c r="D407" s="559" t="str">
        <f aca="false">A407&amp;" "&amp;HLOOKUP($C$1,$E$1:$X$4910,ROW(D407))</f>
        <v>GEO Georgia </v>
      </c>
      <c r="E407" s="626" t="s">
        <v>2395</v>
      </c>
      <c r="F407" s="556" t="s">
        <v>2396</v>
      </c>
      <c r="G407" s="563" t="s">
        <v>2396</v>
      </c>
      <c r="H407" s="556" t="s">
        <v>397</v>
      </c>
      <c r="I407" s="556" t="s">
        <v>2397</v>
      </c>
      <c r="J407" s="556" t="str">
        <f aca="false">"[pt]"&amp;E407</f>
        <v>[pt]Georgien</v>
      </c>
      <c r="K407" s="556" t="str">
        <f aca="false">"[gr]"&amp;E407</f>
        <v>[gr]Georgien</v>
      </c>
      <c r="L407" s="627" t="s">
        <v>398</v>
      </c>
      <c r="M407" s="557" t="str">
        <f aca="false">IF(L407=A407,"","nix")</f>
        <v/>
      </c>
    </row>
    <row r="408" customFormat="false" ht="15.75" hidden="false" customHeight="true" outlineLevel="0" collapsed="false">
      <c r="A408" s="625" t="s">
        <v>400</v>
      </c>
      <c r="B408" s="576" t="s">
        <v>2398</v>
      </c>
      <c r="C408" s="625" t="s">
        <v>2399</v>
      </c>
      <c r="D408" s="559" t="str">
        <f aca="false">A408&amp;" "&amp;HLOOKUP($C$1,$E$1:$X$4910,ROW(D408))</f>
        <v>GHA Ghana </v>
      </c>
      <c r="E408" s="626" t="s">
        <v>399</v>
      </c>
      <c r="F408" s="556" t="s">
        <v>2400</v>
      </c>
      <c r="G408" s="563" t="s">
        <v>2400</v>
      </c>
      <c r="H408" s="556" t="s">
        <v>399</v>
      </c>
      <c r="I408" s="556" t="s">
        <v>399</v>
      </c>
      <c r="J408" s="556" t="str">
        <f aca="false">"[pt]"&amp;E408</f>
        <v>[pt]Ghana</v>
      </c>
      <c r="K408" s="556" t="str">
        <f aca="false">"[gr]"&amp;E408</f>
        <v>[gr]Ghana</v>
      </c>
      <c r="L408" s="627" t="s">
        <v>400</v>
      </c>
      <c r="M408" s="557" t="str">
        <f aca="false">IF(L408=A408,"","nix")</f>
        <v/>
      </c>
    </row>
    <row r="409" customFormat="false" ht="15.75" hidden="false" customHeight="true" outlineLevel="0" collapsed="false">
      <c r="A409" s="625" t="s">
        <v>402</v>
      </c>
      <c r="B409" s="576" t="s">
        <v>2401</v>
      </c>
      <c r="C409" s="625" t="s">
        <v>2402</v>
      </c>
      <c r="D409" s="559" t="str">
        <f aca="false">A409&amp;" "&amp;HLOOKUP($C$1,$E$1:$X$4910,ROW(D409))</f>
        <v>GIB Gibraltar </v>
      </c>
      <c r="E409" s="626" t="s">
        <v>401</v>
      </c>
      <c r="F409" s="556" t="s">
        <v>2403</v>
      </c>
      <c r="G409" s="563" t="s">
        <v>2404</v>
      </c>
      <c r="H409" s="556" t="s">
        <v>401</v>
      </c>
      <c r="I409" s="556" t="s">
        <v>2405</v>
      </c>
      <c r="J409" s="556" t="str">
        <f aca="false">"[pt]"&amp;E409</f>
        <v>[pt]Gibraltar</v>
      </c>
      <c r="K409" s="556" t="str">
        <f aca="false">"[gr]"&amp;E409</f>
        <v>[gr]Gibraltar</v>
      </c>
      <c r="L409" s="627" t="s">
        <v>402</v>
      </c>
      <c r="M409" s="557" t="str">
        <f aca="false">IF(L409=A409,"","nix")</f>
        <v/>
      </c>
    </row>
    <row r="410" customFormat="false" ht="15.75" hidden="false" customHeight="true" outlineLevel="0" collapsed="false">
      <c r="A410" s="625" t="s">
        <v>404</v>
      </c>
      <c r="B410" s="576" t="s">
        <v>2406</v>
      </c>
      <c r="C410" s="625" t="s">
        <v>2407</v>
      </c>
      <c r="D410" s="559" t="str">
        <f aca="false">A410&amp;" "&amp;HLOOKUP($C$1,$E$1:$X$4910,ROW(D410))</f>
        <v>GIN Guinea </v>
      </c>
      <c r="E410" s="626" t="s">
        <v>403</v>
      </c>
      <c r="F410" s="556" t="s">
        <v>2408</v>
      </c>
      <c r="G410" s="563" t="s">
        <v>2408</v>
      </c>
      <c r="H410" s="556" t="s">
        <v>403</v>
      </c>
      <c r="I410" s="556" t="s">
        <v>2409</v>
      </c>
      <c r="J410" s="556" t="str">
        <f aca="false">"[pt]"&amp;E410</f>
        <v>[pt]Guinea</v>
      </c>
      <c r="K410" s="556" t="str">
        <f aca="false">"[gr]"&amp;E410</f>
        <v>[gr]Guinea</v>
      </c>
      <c r="L410" s="627" t="s">
        <v>404</v>
      </c>
      <c r="M410" s="557" t="str">
        <f aca="false">IF(L410=A410,"","nix")</f>
        <v/>
      </c>
    </row>
    <row r="411" customFormat="false" ht="15.75" hidden="false" customHeight="true" outlineLevel="0" collapsed="false">
      <c r="A411" s="625" t="s">
        <v>406</v>
      </c>
      <c r="B411" s="576" t="s">
        <v>2410</v>
      </c>
      <c r="C411" s="625" t="s">
        <v>2411</v>
      </c>
      <c r="D411" s="559" t="str">
        <f aca="false">A411&amp;" "&amp;HLOOKUP($C$1,$E$1:$X$4910,ROW(D411))</f>
        <v>GMB Gambia </v>
      </c>
      <c r="E411" s="626" t="s">
        <v>2412</v>
      </c>
      <c r="F411" s="556" t="s">
        <v>2413</v>
      </c>
      <c r="G411" s="563" t="s">
        <v>2413</v>
      </c>
      <c r="H411" s="556" t="s">
        <v>2412</v>
      </c>
      <c r="I411" s="556" t="s">
        <v>2414</v>
      </c>
      <c r="J411" s="556" t="str">
        <f aca="false">"[pt]"&amp;E411</f>
        <v>[pt]Gambia</v>
      </c>
      <c r="K411" s="556" t="str">
        <f aca="false">"[gr]"&amp;E411</f>
        <v>[gr]Gambia</v>
      </c>
      <c r="L411" s="627" t="s">
        <v>406</v>
      </c>
      <c r="M411" s="557" t="str">
        <f aca="false">IF(L411=A411,"","nix")</f>
        <v/>
      </c>
    </row>
    <row r="412" customFormat="false" ht="28.5" hidden="false" customHeight="true" outlineLevel="0" collapsed="false">
      <c r="A412" s="625" t="s">
        <v>408</v>
      </c>
      <c r="B412" s="576" t="s">
        <v>2415</v>
      </c>
      <c r="C412" s="625" t="s">
        <v>2416</v>
      </c>
      <c r="D412" s="559" t="str">
        <f aca="false">A412&amp;" "&amp;HLOOKUP($C$1,$E$1:$X$4910,ROW(D412))</f>
        <v>GNB Guinea-Bissau </v>
      </c>
      <c r="E412" s="626" t="s">
        <v>407</v>
      </c>
      <c r="F412" s="556" t="s">
        <v>2417</v>
      </c>
      <c r="G412" s="563" t="s">
        <v>2417</v>
      </c>
      <c r="H412" s="556" t="s">
        <v>2418</v>
      </c>
      <c r="I412" s="556" t="s">
        <v>2419</v>
      </c>
      <c r="J412" s="556" t="str">
        <f aca="false">"[pt]"&amp;E412</f>
        <v>[pt]Guinea-Bissau</v>
      </c>
      <c r="K412" s="556" t="str">
        <f aca="false">"[gr]"&amp;E412</f>
        <v>[gr]Guinea-Bissau</v>
      </c>
      <c r="L412" s="627" t="s">
        <v>408</v>
      </c>
      <c r="M412" s="557" t="str">
        <f aca="false">IF(L412=A412,"","nix")</f>
        <v/>
      </c>
    </row>
    <row r="413" customFormat="false" ht="15.75" hidden="false" customHeight="true" outlineLevel="0" collapsed="false">
      <c r="A413" s="625" t="s">
        <v>410</v>
      </c>
      <c r="B413" s="576" t="s">
        <v>2420</v>
      </c>
      <c r="C413" s="625" t="s">
        <v>2421</v>
      </c>
      <c r="D413" s="559" t="str">
        <f aca="false">A413&amp;" "&amp;HLOOKUP($C$1,$E$1:$X$4910,ROW(D413))</f>
        <v>GNQ Equatorial Guinea </v>
      </c>
      <c r="E413" s="626" t="s">
        <v>2422</v>
      </c>
      <c r="F413" s="556" t="s">
        <v>2423</v>
      </c>
      <c r="G413" s="563" t="s">
        <v>2424</v>
      </c>
      <c r="H413" s="556" t="s">
        <v>2425</v>
      </c>
      <c r="I413" s="556" t="s">
        <v>2426</v>
      </c>
      <c r="J413" s="556" t="str">
        <f aca="false">"[pt]"&amp;E413</f>
        <v>[pt]Äquatorialguinea</v>
      </c>
      <c r="K413" s="556" t="str">
        <f aca="false">"[gr]"&amp;E413</f>
        <v>[gr]Äquatorialguinea</v>
      </c>
      <c r="L413" s="627" t="s">
        <v>410</v>
      </c>
      <c r="M413" s="557" t="str">
        <f aca="false">IF(L413=A413,"","nix")</f>
        <v/>
      </c>
    </row>
    <row r="414" customFormat="false" ht="15.75" hidden="false" customHeight="true" outlineLevel="0" collapsed="false">
      <c r="A414" s="625" t="s">
        <v>412</v>
      </c>
      <c r="B414" s="576" t="s">
        <v>2427</v>
      </c>
      <c r="C414" s="625" t="s">
        <v>2428</v>
      </c>
      <c r="D414" s="559" t="str">
        <f aca="false">A414&amp;" "&amp;HLOOKUP($C$1,$E$1:$X$4910,ROW(D414))</f>
        <v>GRC Greece </v>
      </c>
      <c r="E414" s="626" t="s">
        <v>2429</v>
      </c>
      <c r="F414" s="556" t="s">
        <v>2430</v>
      </c>
      <c r="G414" s="563" t="s">
        <v>2431</v>
      </c>
      <c r="H414" s="556" t="s">
        <v>2432</v>
      </c>
      <c r="I414" s="556" t="s">
        <v>2433</v>
      </c>
      <c r="J414" s="556" t="str">
        <f aca="false">"[pt]"&amp;E414</f>
        <v>[pt]Griechenland</v>
      </c>
      <c r="K414" s="556" t="str">
        <f aca="false">"[gr]"&amp;E414</f>
        <v>[gr]Griechenland</v>
      </c>
      <c r="L414" s="627" t="s">
        <v>412</v>
      </c>
      <c r="M414" s="557" t="str">
        <f aca="false">IF(L414=A414,"","nix")</f>
        <v/>
      </c>
    </row>
    <row r="415" customFormat="false" ht="15.75" hidden="false" customHeight="true" outlineLevel="0" collapsed="false">
      <c r="A415" s="625" t="s">
        <v>414</v>
      </c>
      <c r="B415" s="576" t="s">
        <v>2434</v>
      </c>
      <c r="C415" s="625" t="s">
        <v>2435</v>
      </c>
      <c r="D415" s="559" t="str">
        <f aca="false">A415&amp;" "&amp;HLOOKUP($C$1,$E$1:$X$4910,ROW(D415))</f>
        <v>GRD Grenada </v>
      </c>
      <c r="E415" s="626" t="s">
        <v>413</v>
      </c>
      <c r="F415" s="556" t="s">
        <v>2436</v>
      </c>
      <c r="G415" s="563" t="s">
        <v>2436</v>
      </c>
      <c r="H415" s="556" t="s">
        <v>2437</v>
      </c>
      <c r="I415" s="556" t="s">
        <v>2438</v>
      </c>
      <c r="J415" s="556" t="str">
        <f aca="false">"[pt]"&amp;E415</f>
        <v>[pt]Grenada</v>
      </c>
      <c r="K415" s="556" t="str">
        <f aca="false">"[gr]"&amp;E415</f>
        <v>[gr]Grenada</v>
      </c>
      <c r="L415" s="627" t="s">
        <v>414</v>
      </c>
      <c r="M415" s="557" t="str">
        <f aca="false">IF(L415=A415,"","nix")</f>
        <v/>
      </c>
    </row>
    <row r="416" customFormat="false" ht="15.75" hidden="false" customHeight="true" outlineLevel="0" collapsed="false">
      <c r="A416" s="625" t="s">
        <v>416</v>
      </c>
      <c r="B416" s="576" t="s">
        <v>2439</v>
      </c>
      <c r="C416" s="625" t="s">
        <v>2440</v>
      </c>
      <c r="D416" s="559" t="str">
        <f aca="false">A416&amp;" "&amp;HLOOKUP($C$1,$E$1:$X$4910,ROW(D416))</f>
        <v>GRL Greenland </v>
      </c>
      <c r="E416" s="626" t="s">
        <v>2441</v>
      </c>
      <c r="F416" s="556" t="s">
        <v>2442</v>
      </c>
      <c r="G416" s="563" t="s">
        <v>2443</v>
      </c>
      <c r="H416" s="556" t="s">
        <v>2444</v>
      </c>
      <c r="I416" s="556" t="s">
        <v>2445</v>
      </c>
      <c r="J416" s="556" t="str">
        <f aca="false">"[pt]"&amp;E416</f>
        <v>[pt]Grönland</v>
      </c>
      <c r="K416" s="556" t="str">
        <f aca="false">"[gr]"&amp;E416</f>
        <v>[gr]Grönland</v>
      </c>
      <c r="L416" s="627" t="s">
        <v>416</v>
      </c>
      <c r="M416" s="557" t="str">
        <f aca="false">IF(L416=A416,"","nix")</f>
        <v/>
      </c>
    </row>
    <row r="417" customFormat="false" ht="15.75" hidden="false" customHeight="true" outlineLevel="0" collapsed="false">
      <c r="A417" s="625" t="s">
        <v>418</v>
      </c>
      <c r="B417" s="576" t="s">
        <v>2446</v>
      </c>
      <c r="C417" s="625" t="s">
        <v>2447</v>
      </c>
      <c r="D417" s="559" t="str">
        <f aca="false">A417&amp;" "&amp;HLOOKUP($C$1,$E$1:$X$4910,ROW(D417))</f>
        <v>GTM Guatemala </v>
      </c>
      <c r="E417" s="626" t="s">
        <v>417</v>
      </c>
      <c r="F417" s="556" t="s">
        <v>2448</v>
      </c>
      <c r="G417" s="563" t="s">
        <v>2448</v>
      </c>
      <c r="H417" s="556" t="s">
        <v>417</v>
      </c>
      <c r="I417" s="556" t="s">
        <v>2449</v>
      </c>
      <c r="J417" s="556" t="str">
        <f aca="false">"[pt]"&amp;E417</f>
        <v>[pt]Guatemala</v>
      </c>
      <c r="K417" s="556" t="str">
        <f aca="false">"[gr]"&amp;E417</f>
        <v>[gr]Guatemala</v>
      </c>
      <c r="L417" s="627" t="s">
        <v>418</v>
      </c>
      <c r="M417" s="557" t="str">
        <f aca="false">IF(L417=A417,"","nix")</f>
        <v/>
      </c>
    </row>
    <row r="418" customFormat="false" ht="15.75" hidden="false" customHeight="true" outlineLevel="0" collapsed="false">
      <c r="A418" s="625" t="s">
        <v>420</v>
      </c>
      <c r="B418" s="576" t="s">
        <v>2450</v>
      </c>
      <c r="C418" s="625" t="s">
        <v>2451</v>
      </c>
      <c r="D418" s="559" t="str">
        <f aca="false">A418&amp;" "&amp;HLOOKUP($C$1,$E$1:$X$4910,ROW(D418))</f>
        <v>GUM Guam </v>
      </c>
      <c r="E418" s="626" t="s">
        <v>419</v>
      </c>
      <c r="F418" s="556" t="s">
        <v>2452</v>
      </c>
      <c r="G418" s="563" t="s">
        <v>2452</v>
      </c>
      <c r="H418" s="556" t="s">
        <v>419</v>
      </c>
      <c r="I418" s="556" t="s">
        <v>419</v>
      </c>
      <c r="J418" s="556" t="str">
        <f aca="false">"[pt]"&amp;E418</f>
        <v>[pt]Guam</v>
      </c>
      <c r="K418" s="556" t="str">
        <f aca="false">"[gr]"&amp;E418</f>
        <v>[gr]Guam</v>
      </c>
      <c r="L418" s="627" t="s">
        <v>420</v>
      </c>
      <c r="M418" s="557" t="str">
        <f aca="false">IF(L418=A418,"","nix")</f>
        <v/>
      </c>
    </row>
    <row r="419" customFormat="false" ht="15.75" hidden="false" customHeight="true" outlineLevel="0" collapsed="false">
      <c r="A419" s="625" t="s">
        <v>422</v>
      </c>
      <c r="B419" s="576" t="s">
        <v>2453</v>
      </c>
      <c r="C419" s="625" t="s">
        <v>2454</v>
      </c>
      <c r="D419" s="559" t="str">
        <f aca="false">A419&amp;" "&amp;HLOOKUP($C$1,$E$1:$X$4910,ROW(D419))</f>
        <v>GUY Guyana </v>
      </c>
      <c r="E419" s="626" t="s">
        <v>421</v>
      </c>
      <c r="F419" s="556" t="s">
        <v>2455</v>
      </c>
      <c r="G419" s="563" t="s">
        <v>2455</v>
      </c>
      <c r="H419" s="556" t="s">
        <v>421</v>
      </c>
      <c r="I419" s="556" t="s">
        <v>2456</v>
      </c>
      <c r="J419" s="556" t="str">
        <f aca="false">"[pt]"&amp;E419</f>
        <v>[pt]Guyana</v>
      </c>
      <c r="K419" s="556" t="str">
        <f aca="false">"[gr]"&amp;E419</f>
        <v>[gr]Guyana</v>
      </c>
      <c r="L419" s="627" t="s">
        <v>422</v>
      </c>
      <c r="M419" s="557" t="str">
        <f aca="false">IF(L419=A419,"","nix")</f>
        <v/>
      </c>
    </row>
    <row r="420" customFormat="false" ht="15.75" hidden="false" customHeight="true" outlineLevel="0" collapsed="false">
      <c r="A420" s="625" t="s">
        <v>424</v>
      </c>
      <c r="B420" s="576" t="s">
        <v>2457</v>
      </c>
      <c r="C420" s="625" t="s">
        <v>2458</v>
      </c>
      <c r="D420" s="559" t="str">
        <f aca="false">A420&amp;" "&amp;HLOOKUP($C$1,$E$1:$X$4910,ROW(D420))</f>
        <v>HKG Hong Kong </v>
      </c>
      <c r="E420" s="626" t="s">
        <v>2459</v>
      </c>
      <c r="F420" s="556" t="s">
        <v>2460</v>
      </c>
      <c r="G420" s="563" t="s">
        <v>2460</v>
      </c>
      <c r="H420" s="556" t="s">
        <v>2461</v>
      </c>
      <c r="I420" s="556" t="s">
        <v>2461</v>
      </c>
      <c r="J420" s="556" t="str">
        <f aca="false">"[pt]"&amp;E420</f>
        <v>[pt]Hongkong</v>
      </c>
      <c r="K420" s="556" t="str">
        <f aca="false">"[gr]"&amp;E420</f>
        <v>[gr]Hongkong</v>
      </c>
      <c r="L420" s="627" t="s">
        <v>424</v>
      </c>
      <c r="M420" s="557" t="str">
        <f aca="false">IF(L420=A420,"","nix")</f>
        <v/>
      </c>
    </row>
    <row r="421" customFormat="false" ht="15.75" hidden="false" customHeight="true" outlineLevel="0" collapsed="false">
      <c r="A421" s="625" t="s">
        <v>426</v>
      </c>
      <c r="B421" s="576" t="s">
        <v>2462</v>
      </c>
      <c r="C421" s="625" t="s">
        <v>2463</v>
      </c>
      <c r="D421" s="559" t="str">
        <f aca="false">A421&amp;" "&amp;HLOOKUP($C$1,$E$1:$X$4910,ROW(D421))</f>
        <v>HND Honduras </v>
      </c>
      <c r="E421" s="626" t="s">
        <v>425</v>
      </c>
      <c r="F421" s="556" t="s">
        <v>2464</v>
      </c>
      <c r="G421" s="563" t="s">
        <v>2464</v>
      </c>
      <c r="H421" s="556" t="s">
        <v>425</v>
      </c>
      <c r="I421" s="556" t="s">
        <v>425</v>
      </c>
      <c r="J421" s="556" t="str">
        <f aca="false">"[pt]"&amp;E421</f>
        <v>[pt]Honduras</v>
      </c>
      <c r="K421" s="556" t="str">
        <f aca="false">"[gr]"&amp;E421</f>
        <v>[gr]Honduras</v>
      </c>
      <c r="L421" s="627" t="s">
        <v>426</v>
      </c>
      <c r="M421" s="557" t="str">
        <f aca="false">IF(L421=A421,"","nix")</f>
        <v/>
      </c>
    </row>
    <row r="422" customFormat="false" ht="15.75" hidden="false" customHeight="true" outlineLevel="0" collapsed="false">
      <c r="A422" s="625" t="s">
        <v>428</v>
      </c>
      <c r="B422" s="576" t="s">
        <v>2465</v>
      </c>
      <c r="C422" s="625" t="s">
        <v>2466</v>
      </c>
      <c r="D422" s="559" t="str">
        <f aca="false">A422&amp;" "&amp;HLOOKUP($C$1,$E$1:$X$4910,ROW(D422))</f>
        <v>HRV Croatia </v>
      </c>
      <c r="E422" s="626" t="s">
        <v>2467</v>
      </c>
      <c r="F422" s="556" t="s">
        <v>2468</v>
      </c>
      <c r="G422" s="563" t="s">
        <v>2469</v>
      </c>
      <c r="H422" s="556" t="s">
        <v>2470</v>
      </c>
      <c r="I422" s="556" t="s">
        <v>2471</v>
      </c>
      <c r="J422" s="556" t="str">
        <f aca="false">"[pt]"&amp;E422</f>
        <v>[pt]Kroatien</v>
      </c>
      <c r="K422" s="556" t="str">
        <f aca="false">"[gr]"&amp;E422</f>
        <v>[gr]Kroatien</v>
      </c>
      <c r="L422" s="627" t="s">
        <v>428</v>
      </c>
      <c r="M422" s="557" t="str">
        <f aca="false">IF(L422=A422,"","nix")</f>
        <v/>
      </c>
    </row>
    <row r="423" customFormat="false" ht="15.75" hidden="false" customHeight="true" outlineLevel="0" collapsed="false">
      <c r="A423" s="625" t="s">
        <v>430</v>
      </c>
      <c r="B423" s="576" t="s">
        <v>2472</v>
      </c>
      <c r="C423" s="625" t="s">
        <v>2473</v>
      </c>
      <c r="D423" s="559" t="str">
        <f aca="false">A423&amp;" "&amp;HLOOKUP($C$1,$E$1:$X$4910,ROW(D423))</f>
        <v>HTI Haiti </v>
      </c>
      <c r="E423" s="626" t="s">
        <v>429</v>
      </c>
      <c r="F423" s="556" t="s">
        <v>2474</v>
      </c>
      <c r="G423" s="563" t="s">
        <v>2474</v>
      </c>
      <c r="H423" s="556" t="s">
        <v>2475</v>
      </c>
      <c r="I423" s="556" t="s">
        <v>2476</v>
      </c>
      <c r="J423" s="556" t="str">
        <f aca="false">"[pt]"&amp;E423</f>
        <v>[pt]Haiti</v>
      </c>
      <c r="K423" s="556" t="str">
        <f aca="false">"[gr]"&amp;E423</f>
        <v>[gr]Haiti</v>
      </c>
      <c r="L423" s="627" t="s">
        <v>430</v>
      </c>
      <c r="M423" s="557" t="str">
        <f aca="false">IF(L423=A423,"","nix")</f>
        <v/>
      </c>
    </row>
    <row r="424" customFormat="false" ht="15.75" hidden="false" customHeight="true" outlineLevel="0" collapsed="false">
      <c r="A424" s="625" t="s">
        <v>432</v>
      </c>
      <c r="B424" s="576" t="s">
        <v>2477</v>
      </c>
      <c r="C424" s="625" t="s">
        <v>2478</v>
      </c>
      <c r="D424" s="559" t="str">
        <f aca="false">A424&amp;" "&amp;HLOOKUP($C$1,$E$1:$X$4910,ROW(D424))</f>
        <v>HUN Hungary </v>
      </c>
      <c r="E424" s="626" t="s">
        <v>2479</v>
      </c>
      <c r="F424" s="556" t="s">
        <v>2480</v>
      </c>
      <c r="G424" s="563" t="s">
        <v>2481</v>
      </c>
      <c r="H424" s="556" t="s">
        <v>2482</v>
      </c>
      <c r="I424" s="556" t="s">
        <v>2483</v>
      </c>
      <c r="J424" s="556" t="str">
        <f aca="false">"[pt]"&amp;E424</f>
        <v>[pt]Ungarn</v>
      </c>
      <c r="K424" s="556" t="str">
        <f aca="false">"[gr]"&amp;E424</f>
        <v>[gr]Ungarn</v>
      </c>
      <c r="L424" s="627" t="s">
        <v>432</v>
      </c>
      <c r="M424" s="557" t="str">
        <f aca="false">IF(L424=A424,"","nix")</f>
        <v/>
      </c>
    </row>
    <row r="425" customFormat="false" ht="15.75" hidden="false" customHeight="true" outlineLevel="0" collapsed="false">
      <c r="A425" s="625" t="s">
        <v>434</v>
      </c>
      <c r="B425" s="576" t="s">
        <v>2484</v>
      </c>
      <c r="C425" s="625" t="s">
        <v>2485</v>
      </c>
      <c r="D425" s="559" t="str">
        <f aca="false">A425&amp;" "&amp;HLOOKUP($C$1,$E$1:$X$4910,ROW(D425))</f>
        <v>IDN Indonesia </v>
      </c>
      <c r="E425" s="626" t="s">
        <v>2486</v>
      </c>
      <c r="F425" s="556" t="s">
        <v>2487</v>
      </c>
      <c r="G425" s="628" t="s">
        <v>2487</v>
      </c>
      <c r="H425" s="628" t="s">
        <v>433</v>
      </c>
      <c r="I425" s="628" t="s">
        <v>2488</v>
      </c>
      <c r="J425" s="556" t="str">
        <f aca="false">"[pt]"&amp;E425</f>
        <v>[pt]Indonesien</v>
      </c>
      <c r="K425" s="556" t="str">
        <f aca="false">"[gr]"&amp;E425</f>
        <v>[gr]Indonesien</v>
      </c>
      <c r="L425" s="627" t="s">
        <v>434</v>
      </c>
      <c r="M425" s="557" t="str">
        <f aca="false">IF(L425=A425,"","nix")</f>
        <v/>
      </c>
    </row>
    <row r="426" customFormat="false" ht="15.75" hidden="false" customHeight="true" outlineLevel="0" collapsed="false">
      <c r="A426" s="625" t="s">
        <v>436</v>
      </c>
      <c r="B426" s="576" t="s">
        <v>2489</v>
      </c>
      <c r="C426" s="625" t="s">
        <v>2490</v>
      </c>
      <c r="D426" s="559" t="str">
        <f aca="false">A426&amp;" "&amp;HLOOKUP($C$1,$E$1:$X$4910,ROW(D426))</f>
        <v>IMN Isle of Man </v>
      </c>
      <c r="E426" s="555" t="s">
        <v>2491</v>
      </c>
      <c r="F426" s="556" t="s">
        <v>2492</v>
      </c>
      <c r="G426" s="555" t="s">
        <v>2493</v>
      </c>
      <c r="H426" s="555" t="s">
        <v>2494</v>
      </c>
      <c r="I426" s="555" t="s">
        <v>2495</v>
      </c>
      <c r="J426" s="556" t="str">
        <f aca="false">"[pt]"&amp;E426</f>
        <v>[pt]Insel Man</v>
      </c>
      <c r="K426" s="556" t="str">
        <f aca="false">"[gr]"&amp;E426</f>
        <v>[gr]Insel Man</v>
      </c>
      <c r="L426" s="627" t="s">
        <v>436</v>
      </c>
      <c r="M426" s="557" t="str">
        <f aca="false">IF(L426=A426,"","nix")</f>
        <v/>
      </c>
    </row>
    <row r="427" customFormat="false" ht="15.75" hidden="false" customHeight="true" outlineLevel="0" collapsed="false">
      <c r="A427" s="625" t="s">
        <v>438</v>
      </c>
      <c r="B427" s="576" t="s">
        <v>2496</v>
      </c>
      <c r="C427" s="625" t="s">
        <v>2497</v>
      </c>
      <c r="D427" s="559" t="str">
        <f aca="false">A427&amp;" "&amp;HLOOKUP($C$1,$E$1:$X$4910,ROW(D427))</f>
        <v>IND India </v>
      </c>
      <c r="E427" s="555" t="s">
        <v>2498</v>
      </c>
      <c r="F427" s="556" t="s">
        <v>2499</v>
      </c>
      <c r="G427" s="555" t="s">
        <v>2499</v>
      </c>
      <c r="H427" s="555" t="s">
        <v>437</v>
      </c>
      <c r="I427" s="555" t="s">
        <v>2500</v>
      </c>
      <c r="J427" s="556" t="str">
        <f aca="false">"[pt]"&amp;E427</f>
        <v>[pt]Indien</v>
      </c>
      <c r="K427" s="556" t="str">
        <f aca="false">"[gr]"&amp;E427</f>
        <v>[gr]Indien</v>
      </c>
      <c r="L427" s="627" t="s">
        <v>438</v>
      </c>
      <c r="M427" s="557" t="str">
        <f aca="false">IF(L427=A427,"","nix")</f>
        <v/>
      </c>
    </row>
    <row r="428" customFormat="false" ht="15.75" hidden="false" customHeight="true" outlineLevel="0" collapsed="false">
      <c r="A428" s="625" t="s">
        <v>440</v>
      </c>
      <c r="B428" s="576" t="s">
        <v>2501</v>
      </c>
      <c r="C428" s="625" t="s">
        <v>2502</v>
      </c>
      <c r="D428" s="559" t="str">
        <f aca="false">A428&amp;" "&amp;HLOOKUP($C$1,$E$1:$X$4910,ROW(D428))</f>
        <v>IRL Ireland </v>
      </c>
      <c r="E428" s="626" t="s">
        <v>2503</v>
      </c>
      <c r="F428" s="556" t="s">
        <v>2504</v>
      </c>
      <c r="G428" s="628" t="s">
        <v>2505</v>
      </c>
      <c r="H428" s="628" t="s">
        <v>2506</v>
      </c>
      <c r="I428" s="628" t="s">
        <v>2507</v>
      </c>
      <c r="J428" s="556" t="str">
        <f aca="false">"[pt]"&amp;E428</f>
        <v>[pt]Irland</v>
      </c>
      <c r="K428" s="556" t="str">
        <f aca="false">"[gr]"&amp;E428</f>
        <v>[gr]Irland</v>
      </c>
      <c r="L428" s="627" t="s">
        <v>440</v>
      </c>
      <c r="M428" s="557" t="str">
        <f aca="false">IF(L428=A428,"","nix")</f>
        <v/>
      </c>
    </row>
    <row r="429" customFormat="false" ht="15.75" hidden="false" customHeight="true" outlineLevel="0" collapsed="false">
      <c r="A429" s="625" t="s">
        <v>442</v>
      </c>
      <c r="B429" s="576" t="s">
        <v>2508</v>
      </c>
      <c r="C429" s="625" t="s">
        <v>2509</v>
      </c>
      <c r="D429" s="559" t="str">
        <f aca="false">A429&amp;" "&amp;HLOOKUP($C$1,$E$1:$X$4910,ROW(D429))</f>
        <v>IRN Iran, Islamic Republic of </v>
      </c>
      <c r="E429" s="555" t="s">
        <v>2510</v>
      </c>
      <c r="F429" s="556" t="s">
        <v>2511</v>
      </c>
      <c r="G429" s="555" t="s">
        <v>2512</v>
      </c>
      <c r="H429" s="555" t="s">
        <v>2513</v>
      </c>
      <c r="I429" s="555" t="s">
        <v>2514</v>
      </c>
      <c r="J429" s="556" t="str">
        <f aca="false">"[pt]"&amp;E429</f>
        <v>[pt]Iran, Islamische Republik</v>
      </c>
      <c r="K429" s="556" t="str">
        <f aca="false">"[gr]"&amp;E429</f>
        <v>[gr]Iran, Islamische Republik</v>
      </c>
      <c r="L429" s="627" t="s">
        <v>442</v>
      </c>
      <c r="M429" s="557" t="str">
        <f aca="false">IF(L429=A429,"","nix")</f>
        <v/>
      </c>
    </row>
    <row r="430" customFormat="false" ht="15.75" hidden="false" customHeight="true" outlineLevel="0" collapsed="false">
      <c r="A430" s="625" t="s">
        <v>444</v>
      </c>
      <c r="B430" s="576" t="s">
        <v>2515</v>
      </c>
      <c r="C430" s="625" t="s">
        <v>2516</v>
      </c>
      <c r="D430" s="559" t="str">
        <f aca="false">A430&amp;" "&amp;HLOOKUP($C$1,$E$1:$X$4910,ROW(D430))</f>
        <v>IRQ Iraq </v>
      </c>
      <c r="E430" s="555" t="s">
        <v>2517</v>
      </c>
      <c r="F430" s="556" t="s">
        <v>2518</v>
      </c>
      <c r="G430" s="555" t="s">
        <v>2518</v>
      </c>
      <c r="H430" s="555" t="s">
        <v>2517</v>
      </c>
      <c r="I430" s="555" t="s">
        <v>2517</v>
      </c>
      <c r="J430" s="556" t="str">
        <f aca="false">"[pt]"&amp;E430</f>
        <v>[pt]Irak</v>
      </c>
      <c r="K430" s="556" t="str">
        <f aca="false">"[gr]"&amp;E430</f>
        <v>[gr]Irak</v>
      </c>
      <c r="L430" s="627" t="s">
        <v>444</v>
      </c>
      <c r="M430" s="557" t="str">
        <f aca="false">IF(L430=A430,"","nix")</f>
        <v/>
      </c>
    </row>
    <row r="431" customFormat="false" ht="15.75" hidden="false" customHeight="true" outlineLevel="0" collapsed="false">
      <c r="A431" s="625" t="s">
        <v>446</v>
      </c>
      <c r="B431" s="576" t="s">
        <v>2519</v>
      </c>
      <c r="C431" s="625" t="s">
        <v>2520</v>
      </c>
      <c r="D431" s="559" t="str">
        <f aca="false">A431&amp;" "&amp;HLOOKUP($C$1,$E$1:$X$4910,ROW(D431))</f>
        <v>ISL Iceland </v>
      </c>
      <c r="E431" s="555" t="s">
        <v>2521</v>
      </c>
      <c r="F431" s="556" t="s">
        <v>2522</v>
      </c>
      <c r="G431" s="555" t="s">
        <v>2523</v>
      </c>
      <c r="H431" s="555" t="s">
        <v>2524</v>
      </c>
      <c r="I431" s="555" t="s">
        <v>2525</v>
      </c>
      <c r="J431" s="556" t="str">
        <f aca="false">"[pt]"&amp;E431</f>
        <v>[pt]Island</v>
      </c>
      <c r="K431" s="556" t="str">
        <f aca="false">"[gr]"&amp;E431</f>
        <v>[gr]Island</v>
      </c>
      <c r="L431" s="627" t="s">
        <v>446</v>
      </c>
      <c r="M431" s="557" t="str">
        <f aca="false">IF(L431=A431,"","nix")</f>
        <v/>
      </c>
    </row>
    <row r="432" customFormat="false" ht="15.75" hidden="false" customHeight="true" outlineLevel="0" collapsed="false">
      <c r="A432" s="625" t="s">
        <v>448</v>
      </c>
      <c r="B432" s="576" t="s">
        <v>2526</v>
      </c>
      <c r="C432" s="625" t="s">
        <v>2527</v>
      </c>
      <c r="D432" s="559" t="str">
        <f aca="false">A432&amp;" "&amp;HLOOKUP($C$1,$E$1:$X$4910,ROW(D432))</f>
        <v>ISR Israel </v>
      </c>
      <c r="E432" s="555" t="s">
        <v>447</v>
      </c>
      <c r="F432" s="556" t="s">
        <v>2528</v>
      </c>
      <c r="G432" s="555" t="s">
        <v>2529</v>
      </c>
      <c r="H432" s="555" t="s">
        <v>447</v>
      </c>
      <c r="I432" s="555" t="s">
        <v>2530</v>
      </c>
      <c r="J432" s="556" t="str">
        <f aca="false">"[pt]"&amp;E432</f>
        <v>[pt]Israel</v>
      </c>
      <c r="K432" s="556" t="str">
        <f aca="false">"[gr]"&amp;E432</f>
        <v>[gr]Israel</v>
      </c>
      <c r="L432" s="627" t="s">
        <v>448</v>
      </c>
      <c r="M432" s="557" t="str">
        <f aca="false">IF(L432=A432,"","nix")</f>
        <v/>
      </c>
    </row>
    <row r="433" customFormat="false" ht="15.75" hidden="false" customHeight="true" outlineLevel="0" collapsed="false">
      <c r="A433" s="625" t="s">
        <v>450</v>
      </c>
      <c r="B433" s="576" t="s">
        <v>2531</v>
      </c>
      <c r="C433" s="625" t="s">
        <v>2532</v>
      </c>
      <c r="D433" s="559" t="str">
        <f aca="false">A433&amp;" "&amp;HLOOKUP($C$1,$E$1:$X$4910,ROW(D433))</f>
        <v>ITA Italy </v>
      </c>
      <c r="E433" s="555" t="s">
        <v>2533</v>
      </c>
      <c r="F433" s="556" t="s">
        <v>2534</v>
      </c>
      <c r="G433" s="555" t="s">
        <v>2535</v>
      </c>
      <c r="H433" s="555" t="s">
        <v>2536</v>
      </c>
      <c r="I433" s="555" t="s">
        <v>2537</v>
      </c>
      <c r="J433" s="556" t="str">
        <f aca="false">"[pt]"&amp;E433</f>
        <v>[pt]Italien</v>
      </c>
      <c r="K433" s="556" t="str">
        <f aca="false">"[gr]"&amp;E433</f>
        <v>[gr]Italien</v>
      </c>
      <c r="L433" s="627" t="s">
        <v>450</v>
      </c>
      <c r="M433" s="557" t="str">
        <f aca="false">IF(L433=A433,"","nix")</f>
        <v/>
      </c>
    </row>
    <row r="434" customFormat="false" ht="15.75" hidden="false" customHeight="true" outlineLevel="0" collapsed="false">
      <c r="A434" s="625" t="s">
        <v>452</v>
      </c>
      <c r="B434" s="576" t="s">
        <v>2538</v>
      </c>
      <c r="C434" s="625" t="s">
        <v>2539</v>
      </c>
      <c r="D434" s="559" t="str">
        <f aca="false">A434&amp;" "&amp;HLOOKUP($C$1,$E$1:$X$4910,ROW(D434))</f>
        <v>JAM Jamaica </v>
      </c>
      <c r="E434" s="555" t="s">
        <v>2540</v>
      </c>
      <c r="F434" s="556" t="s">
        <v>2541</v>
      </c>
      <c r="G434" s="555" t="s">
        <v>2542</v>
      </c>
      <c r="H434" s="555" t="s">
        <v>451</v>
      </c>
      <c r="I434" s="555" t="s">
        <v>2543</v>
      </c>
      <c r="J434" s="556" t="str">
        <f aca="false">"[pt]"&amp;E434</f>
        <v>[pt]Jamaika</v>
      </c>
      <c r="K434" s="556" t="str">
        <f aca="false">"[gr]"&amp;E434</f>
        <v>[gr]Jamaika</v>
      </c>
      <c r="L434" s="627" t="s">
        <v>452</v>
      </c>
      <c r="M434" s="557" t="str">
        <f aca="false">IF(L434=A434,"","nix")</f>
        <v/>
      </c>
    </row>
    <row r="435" customFormat="false" ht="15.75" hidden="false" customHeight="true" outlineLevel="0" collapsed="false">
      <c r="A435" s="625" t="s">
        <v>454</v>
      </c>
      <c r="B435" s="576" t="s">
        <v>2544</v>
      </c>
      <c r="C435" s="625" t="s">
        <v>2545</v>
      </c>
      <c r="D435" s="559" t="str">
        <f aca="false">A435&amp;" "&amp;HLOOKUP($C$1,$E$1:$X$4910,ROW(D435))</f>
        <v>JOR Jordan </v>
      </c>
      <c r="E435" s="555" t="s">
        <v>2546</v>
      </c>
      <c r="F435" s="556" t="s">
        <v>2547</v>
      </c>
      <c r="G435" s="555" t="s">
        <v>2548</v>
      </c>
      <c r="H435" s="555" t="s">
        <v>2549</v>
      </c>
      <c r="I435" s="555" t="s">
        <v>2550</v>
      </c>
      <c r="J435" s="556" t="str">
        <f aca="false">"[pt]"&amp;E435</f>
        <v>[pt]Jordanien</v>
      </c>
      <c r="K435" s="556" t="str">
        <f aca="false">"[gr]"&amp;E435</f>
        <v>[gr]Jordanien</v>
      </c>
      <c r="L435" s="627" t="s">
        <v>454</v>
      </c>
      <c r="M435" s="557" t="str">
        <f aca="false">IF(L435=A435,"","nix")</f>
        <v/>
      </c>
    </row>
    <row r="436" customFormat="false" ht="15.75" hidden="false" customHeight="true" outlineLevel="0" collapsed="false">
      <c r="A436" s="625" t="s">
        <v>456</v>
      </c>
      <c r="B436" s="576" t="s">
        <v>2551</v>
      </c>
      <c r="C436" s="625" t="s">
        <v>2552</v>
      </c>
      <c r="D436" s="559" t="str">
        <f aca="false">A436&amp;" "&amp;HLOOKUP($C$1,$E$1:$X$4910,ROW(D436))</f>
        <v>JPN Japan </v>
      </c>
      <c r="E436" s="555" t="s">
        <v>455</v>
      </c>
      <c r="F436" s="556" t="s">
        <v>2553</v>
      </c>
      <c r="G436" s="555" t="s">
        <v>2554</v>
      </c>
      <c r="H436" s="555" t="s">
        <v>2555</v>
      </c>
      <c r="I436" s="555" t="s">
        <v>2556</v>
      </c>
      <c r="J436" s="556" t="str">
        <f aca="false">"[pt]"&amp;E436</f>
        <v>[pt]Japan</v>
      </c>
      <c r="K436" s="556" t="str">
        <f aca="false">"[gr]"&amp;E436</f>
        <v>[gr]Japan</v>
      </c>
      <c r="L436" s="627" t="s">
        <v>456</v>
      </c>
      <c r="M436" s="557" t="str">
        <f aca="false">IF(L436=A436,"","nix")</f>
        <v/>
      </c>
    </row>
    <row r="437" customFormat="false" ht="15.75" hidden="false" customHeight="true" outlineLevel="0" collapsed="false">
      <c r="A437" s="625" t="s">
        <v>458</v>
      </c>
      <c r="B437" s="576" t="s">
        <v>2557</v>
      </c>
      <c r="C437" s="625" t="s">
        <v>2558</v>
      </c>
      <c r="D437" s="559" t="str">
        <f aca="false">A437&amp;" "&amp;HLOOKUP($C$1,$E$1:$X$4910,ROW(D437))</f>
        <v>KAZ Kazakhstan </v>
      </c>
      <c r="E437" s="555" t="s">
        <v>2559</v>
      </c>
      <c r="F437" s="556" t="s">
        <v>2560</v>
      </c>
      <c r="G437" s="555" t="s">
        <v>2561</v>
      </c>
      <c r="H437" s="555" t="s">
        <v>2562</v>
      </c>
      <c r="I437" s="555" t="s">
        <v>457</v>
      </c>
      <c r="J437" s="556" t="str">
        <f aca="false">"[pt]"&amp;E437</f>
        <v>[pt]Kasachstan</v>
      </c>
      <c r="K437" s="556" t="str">
        <f aca="false">"[gr]"&amp;E437</f>
        <v>[gr]Kasachstan</v>
      </c>
      <c r="L437" s="627" t="s">
        <v>458</v>
      </c>
      <c r="M437" s="557" t="str">
        <f aca="false">IF(L437=A437,"","nix")</f>
        <v/>
      </c>
    </row>
    <row r="438" customFormat="false" ht="15.75" hidden="false" customHeight="true" outlineLevel="0" collapsed="false">
      <c r="A438" s="625" t="s">
        <v>460</v>
      </c>
      <c r="B438" s="576" t="s">
        <v>2563</v>
      </c>
      <c r="C438" s="625" t="s">
        <v>2564</v>
      </c>
      <c r="D438" s="559" t="str">
        <f aca="false">A438&amp;" "&amp;HLOOKUP($C$1,$E$1:$X$4910,ROW(D438))</f>
        <v>KEN Kenya </v>
      </c>
      <c r="E438" s="555" t="s">
        <v>2565</v>
      </c>
      <c r="F438" s="556" t="s">
        <v>2566</v>
      </c>
      <c r="G438" s="555" t="s">
        <v>2566</v>
      </c>
      <c r="H438" s="555" t="s">
        <v>2565</v>
      </c>
      <c r="I438" s="555" t="s">
        <v>459</v>
      </c>
      <c r="J438" s="556" t="str">
        <f aca="false">"[pt]"&amp;E438</f>
        <v>[pt]Kenia</v>
      </c>
      <c r="K438" s="556" t="str">
        <f aca="false">"[gr]"&amp;E438</f>
        <v>[gr]Kenia</v>
      </c>
      <c r="L438" s="627" t="s">
        <v>460</v>
      </c>
      <c r="M438" s="557" t="str">
        <f aca="false">IF(L438=A438,"","nix")</f>
        <v/>
      </c>
    </row>
    <row r="439" customFormat="false" ht="15.75" hidden="false" customHeight="true" outlineLevel="0" collapsed="false">
      <c r="A439" s="625" t="s">
        <v>462</v>
      </c>
      <c r="B439" s="576" t="s">
        <v>2567</v>
      </c>
      <c r="C439" s="625" t="s">
        <v>2568</v>
      </c>
      <c r="D439" s="559" t="str">
        <f aca="false">A439&amp;" "&amp;HLOOKUP($C$1,$E$1:$X$4910,ROW(D439))</f>
        <v>KGZ Kyrgyzstan </v>
      </c>
      <c r="E439" s="555" t="s">
        <v>2569</v>
      </c>
      <c r="F439" s="556" t="s">
        <v>2570</v>
      </c>
      <c r="G439" s="555" t="s">
        <v>2571</v>
      </c>
      <c r="H439" s="555" t="s">
        <v>2572</v>
      </c>
      <c r="I439" s="555" t="s">
        <v>2573</v>
      </c>
      <c r="J439" s="556" t="str">
        <f aca="false">"[pt]"&amp;E439</f>
        <v>[pt]Kirgisistan</v>
      </c>
      <c r="K439" s="556" t="str">
        <f aca="false">"[gr]"&amp;E439</f>
        <v>[gr]Kirgisistan</v>
      </c>
      <c r="L439" s="627" t="s">
        <v>462</v>
      </c>
      <c r="M439" s="557" t="str">
        <f aca="false">IF(L439=A439,"","nix")</f>
        <v/>
      </c>
    </row>
    <row r="440" customFormat="false" ht="15.75" hidden="false" customHeight="true" outlineLevel="0" collapsed="false">
      <c r="A440" s="625" t="s">
        <v>464</v>
      </c>
      <c r="B440" s="576" t="s">
        <v>2574</v>
      </c>
      <c r="C440" s="625" t="s">
        <v>2575</v>
      </c>
      <c r="D440" s="559" t="str">
        <f aca="false">A440&amp;" "&amp;HLOOKUP($C$1,$E$1:$X$4910,ROW(D440))</f>
        <v>KHM Cambodia </v>
      </c>
      <c r="E440" s="555" t="s">
        <v>2576</v>
      </c>
      <c r="F440" s="556" t="s">
        <v>2577</v>
      </c>
      <c r="G440" s="555" t="s">
        <v>2578</v>
      </c>
      <c r="H440" s="555" t="s">
        <v>2579</v>
      </c>
      <c r="I440" s="555" t="s">
        <v>2580</v>
      </c>
      <c r="J440" s="556" t="str">
        <f aca="false">"[pt]"&amp;E440</f>
        <v>[pt]Kambodscha</v>
      </c>
      <c r="K440" s="556" t="str">
        <f aca="false">"[gr]"&amp;E440</f>
        <v>[gr]Kambodscha</v>
      </c>
      <c r="L440" s="627" t="s">
        <v>464</v>
      </c>
      <c r="M440" s="557" t="str">
        <f aca="false">IF(L440=A440,"","nix")</f>
        <v/>
      </c>
    </row>
    <row r="441" customFormat="false" ht="28.5" hidden="false" customHeight="true" outlineLevel="0" collapsed="false">
      <c r="A441" s="625" t="s">
        <v>466</v>
      </c>
      <c r="B441" s="576" t="s">
        <v>2581</v>
      </c>
      <c r="C441" s="625" t="s">
        <v>2582</v>
      </c>
      <c r="D441" s="559" t="str">
        <f aca="false">A441&amp;" "&amp;HLOOKUP($C$1,$E$1:$X$4910,ROW(D441))</f>
        <v>KIR Kiribati </v>
      </c>
      <c r="E441" s="555" t="s">
        <v>465</v>
      </c>
      <c r="F441" s="556" t="s">
        <v>2583</v>
      </c>
      <c r="G441" s="555" t="s">
        <v>2583</v>
      </c>
      <c r="H441" s="555" t="s">
        <v>465</v>
      </c>
      <c r="I441" s="555" t="s">
        <v>465</v>
      </c>
      <c r="J441" s="556" t="str">
        <f aca="false">"[pt]"&amp;E441</f>
        <v>[pt]Kiribati</v>
      </c>
      <c r="K441" s="556" t="str">
        <f aca="false">"[gr]"&amp;E441</f>
        <v>[gr]Kiribati</v>
      </c>
      <c r="L441" s="627" t="s">
        <v>466</v>
      </c>
      <c r="M441" s="557" t="str">
        <f aca="false">IF(L441=A441,"","nix")</f>
        <v/>
      </c>
    </row>
    <row r="442" customFormat="false" ht="15.75" hidden="false" customHeight="true" outlineLevel="0" collapsed="false">
      <c r="A442" s="625" t="s">
        <v>468</v>
      </c>
      <c r="B442" s="576" t="s">
        <v>2584</v>
      </c>
      <c r="C442" s="625" t="s">
        <v>2585</v>
      </c>
      <c r="D442" s="559" t="str">
        <f aca="false">A442&amp;" "&amp;HLOOKUP($C$1,$E$1:$X$4910,ROW(D442))</f>
        <v>KNA Saint Kitts and Nevis </v>
      </c>
      <c r="E442" s="555" t="s">
        <v>2586</v>
      </c>
      <c r="F442" s="556" t="s">
        <v>2587</v>
      </c>
      <c r="G442" s="555" t="s">
        <v>2588</v>
      </c>
      <c r="H442" s="555" t="s">
        <v>2589</v>
      </c>
      <c r="I442" s="555" t="s">
        <v>2590</v>
      </c>
      <c r="J442" s="556" t="str">
        <f aca="false">"[pt]"&amp;E442</f>
        <v>[pt]St. Kitts und Nevis</v>
      </c>
      <c r="K442" s="556" t="str">
        <f aca="false">"[gr]"&amp;E442</f>
        <v>[gr]St. Kitts und Nevis</v>
      </c>
      <c r="L442" s="627" t="s">
        <v>468</v>
      </c>
      <c r="M442" s="557" t="str">
        <f aca="false">IF(L442=A442,"","nix")</f>
        <v/>
      </c>
    </row>
    <row r="443" customFormat="false" ht="15.75" hidden="false" customHeight="true" outlineLevel="0" collapsed="false">
      <c r="A443" s="625" t="s">
        <v>470</v>
      </c>
      <c r="B443" s="576" t="s">
        <v>2591</v>
      </c>
      <c r="C443" s="625" t="s">
        <v>2592</v>
      </c>
      <c r="D443" s="559" t="str">
        <f aca="false">A443&amp;" "&amp;HLOOKUP($C$1,$E$1:$X$4910,ROW(D443))</f>
        <v>KOR Korea, Republic of </v>
      </c>
      <c r="E443" s="555" t="s">
        <v>2593</v>
      </c>
      <c r="F443" s="556" t="s">
        <v>2594</v>
      </c>
      <c r="G443" s="555" t="s">
        <v>2595</v>
      </c>
      <c r="H443" s="555" t="s">
        <v>2596</v>
      </c>
      <c r="I443" s="555" t="s">
        <v>2597</v>
      </c>
      <c r="J443" s="556" t="str">
        <f aca="false">"[pt]"&amp;E443</f>
        <v>[pt]Korea, Republik (Südkorea)</v>
      </c>
      <c r="K443" s="556" t="str">
        <f aca="false">"[gr]"&amp;E443</f>
        <v>[gr]Korea, Republik (Südkorea)</v>
      </c>
      <c r="L443" s="627" t="s">
        <v>470</v>
      </c>
      <c r="M443" s="557" t="str">
        <f aca="false">IF(L443=A443,"","nix")</f>
        <v/>
      </c>
    </row>
    <row r="444" customFormat="false" ht="15.75" hidden="false" customHeight="true" outlineLevel="0" collapsed="false">
      <c r="A444" s="625" t="s">
        <v>472</v>
      </c>
      <c r="B444" s="576" t="s">
        <v>2598</v>
      </c>
      <c r="C444" s="625" t="s">
        <v>2599</v>
      </c>
      <c r="D444" s="559" t="str">
        <f aca="false">A444&amp;" "&amp;HLOOKUP($C$1,$E$1:$X$4910,ROW(D444))</f>
        <v>KWT Kuwait </v>
      </c>
      <c r="E444" s="555" t="s">
        <v>471</v>
      </c>
      <c r="F444" s="556" t="s">
        <v>2600</v>
      </c>
      <c r="G444" s="555" t="s">
        <v>2600</v>
      </c>
      <c r="H444" s="555" t="s">
        <v>471</v>
      </c>
      <c r="I444" s="555" t="s">
        <v>2601</v>
      </c>
      <c r="J444" s="556" t="str">
        <f aca="false">"[pt]"&amp;E444</f>
        <v>[pt]Kuwait</v>
      </c>
      <c r="K444" s="556" t="str">
        <f aca="false">"[gr]"&amp;E444</f>
        <v>[gr]Kuwait</v>
      </c>
      <c r="L444" s="627" t="s">
        <v>472</v>
      </c>
      <c r="M444" s="557" t="str">
        <f aca="false">IF(L444=A444,"","nix")</f>
        <v/>
      </c>
    </row>
    <row r="445" customFormat="false" ht="15.75" hidden="false" customHeight="true" outlineLevel="0" collapsed="false">
      <c r="A445" s="625" t="s">
        <v>474</v>
      </c>
      <c r="B445" s="576" t="s">
        <v>2602</v>
      </c>
      <c r="C445" s="625" t="s">
        <v>2603</v>
      </c>
      <c r="D445" s="559" t="str">
        <f aca="false">A445&amp;" "&amp;HLOOKUP($C$1,$E$1:$X$4910,ROW(D445))</f>
        <v>LAO Lao People's Democratic Republic </v>
      </c>
      <c r="E445" s="555" t="s">
        <v>2604</v>
      </c>
      <c r="F445" s="556" t="s">
        <v>2605</v>
      </c>
      <c r="G445" s="555" t="s">
        <v>2606</v>
      </c>
      <c r="H445" s="555" t="s">
        <v>2607</v>
      </c>
      <c r="I445" s="555" t="s">
        <v>2607</v>
      </c>
      <c r="J445" s="556" t="str">
        <f aca="false">"[pt]"&amp;E445</f>
        <v>[pt]Laos, Demokratische Volksrepublik</v>
      </c>
      <c r="K445" s="556" t="str">
        <f aca="false">"[gr]"&amp;E445</f>
        <v>[gr]Laos, Demokratische Volksrepublik</v>
      </c>
      <c r="L445" s="627" t="s">
        <v>474</v>
      </c>
      <c r="M445" s="557" t="str">
        <f aca="false">IF(L445=A445,"","nix")</f>
        <v/>
      </c>
    </row>
    <row r="446" customFormat="false" ht="15.75" hidden="false" customHeight="true" outlineLevel="0" collapsed="false">
      <c r="A446" s="625" t="s">
        <v>476</v>
      </c>
      <c r="B446" s="576" t="s">
        <v>2608</v>
      </c>
      <c r="C446" s="625" t="s">
        <v>2609</v>
      </c>
      <c r="D446" s="559" t="str">
        <f aca="false">A446&amp;" "&amp;HLOOKUP($C$1,$E$1:$X$4910,ROW(D446))</f>
        <v>LBN Lebanon </v>
      </c>
      <c r="E446" s="555" t="s">
        <v>2610</v>
      </c>
      <c r="F446" s="556" t="s">
        <v>2611</v>
      </c>
      <c r="G446" s="555" t="s">
        <v>2612</v>
      </c>
      <c r="H446" s="555" t="s">
        <v>2613</v>
      </c>
      <c r="I446" s="555" t="s">
        <v>2614</v>
      </c>
      <c r="J446" s="556" t="str">
        <f aca="false">"[pt]"&amp;E446</f>
        <v>[pt]Libanon</v>
      </c>
      <c r="K446" s="556" t="str">
        <f aca="false">"[gr]"&amp;E446</f>
        <v>[gr]Libanon</v>
      </c>
      <c r="L446" s="627" t="s">
        <v>476</v>
      </c>
      <c r="M446" s="557" t="str">
        <f aca="false">IF(L446=A446,"","nix")</f>
        <v/>
      </c>
    </row>
    <row r="447" customFormat="false" ht="15.75" hidden="false" customHeight="true" outlineLevel="0" collapsed="false">
      <c r="A447" s="625" t="s">
        <v>478</v>
      </c>
      <c r="B447" s="576" t="s">
        <v>2615</v>
      </c>
      <c r="C447" s="625" t="s">
        <v>2616</v>
      </c>
      <c r="D447" s="559" t="str">
        <f aca="false">A447&amp;" "&amp;HLOOKUP($C$1,$E$1:$X$4910,ROW(D447))</f>
        <v>LBR Liberia </v>
      </c>
      <c r="E447" s="555" t="s">
        <v>477</v>
      </c>
      <c r="F447" s="556" t="s">
        <v>2617</v>
      </c>
      <c r="G447" s="555" t="s">
        <v>2617</v>
      </c>
      <c r="H447" s="555" t="s">
        <v>477</v>
      </c>
      <c r="I447" s="555" t="s">
        <v>2618</v>
      </c>
      <c r="J447" s="556" t="str">
        <f aca="false">"[pt]"&amp;E447</f>
        <v>[pt]Liberia</v>
      </c>
      <c r="K447" s="556" t="str">
        <f aca="false">"[gr]"&amp;E447</f>
        <v>[gr]Liberia</v>
      </c>
      <c r="L447" s="627" t="s">
        <v>478</v>
      </c>
      <c r="M447" s="557" t="str">
        <f aca="false">IF(L447=A447,"","nix")</f>
        <v/>
      </c>
    </row>
    <row r="448" customFormat="false" ht="15.75" hidden="false" customHeight="true" outlineLevel="0" collapsed="false">
      <c r="A448" s="625" t="s">
        <v>480</v>
      </c>
      <c r="B448" s="576" t="s">
        <v>2619</v>
      </c>
      <c r="C448" s="625" t="s">
        <v>2620</v>
      </c>
      <c r="D448" s="559" t="str">
        <f aca="false">A448&amp;" "&amp;HLOOKUP($C$1,$E$1:$X$4910,ROW(D448))</f>
        <v>LBY Libya </v>
      </c>
      <c r="E448" s="555" t="s">
        <v>2621</v>
      </c>
      <c r="F448" s="556" t="s">
        <v>2622</v>
      </c>
      <c r="G448" s="555" t="s">
        <v>2623</v>
      </c>
      <c r="H448" s="555" t="s">
        <v>2624</v>
      </c>
      <c r="I448" s="555" t="s">
        <v>2625</v>
      </c>
      <c r="J448" s="556" t="str">
        <f aca="false">"[pt]"&amp;E448</f>
        <v>[pt]Libyen</v>
      </c>
      <c r="K448" s="556" t="str">
        <f aca="false">"[gr]"&amp;E448</f>
        <v>[gr]Libyen</v>
      </c>
      <c r="L448" s="627" t="s">
        <v>480</v>
      </c>
      <c r="M448" s="557" t="str">
        <f aca="false">IF(L448=A448,"","nix")</f>
        <v/>
      </c>
    </row>
    <row r="449" customFormat="false" ht="15.75" hidden="false" customHeight="true" outlineLevel="0" collapsed="false">
      <c r="A449" s="625" t="s">
        <v>482</v>
      </c>
      <c r="B449" s="576" t="s">
        <v>2626</v>
      </c>
      <c r="C449" s="625" t="s">
        <v>2627</v>
      </c>
      <c r="D449" s="559" t="str">
        <f aca="false">A449&amp;" "&amp;HLOOKUP($C$1,$E$1:$X$4910,ROW(D449))</f>
        <v>LCA Saint Lucia </v>
      </c>
      <c r="E449" s="555" t="s">
        <v>481</v>
      </c>
      <c r="F449" s="556" t="s">
        <v>2628</v>
      </c>
      <c r="G449" s="555" t="s">
        <v>2629</v>
      </c>
      <c r="H449" s="555" t="s">
        <v>2630</v>
      </c>
      <c r="I449" s="555" t="s">
        <v>2631</v>
      </c>
      <c r="J449" s="556" t="str">
        <f aca="false">"[pt]"&amp;E449</f>
        <v>[pt]St. Lucia</v>
      </c>
      <c r="K449" s="556" t="str">
        <f aca="false">"[gr]"&amp;E449</f>
        <v>[gr]St. Lucia</v>
      </c>
      <c r="L449" s="627" t="s">
        <v>482</v>
      </c>
      <c r="M449" s="557" t="str">
        <f aca="false">IF(L449=A449,"","nix")</f>
        <v/>
      </c>
    </row>
    <row r="450" customFormat="false" ht="15.75" hidden="false" customHeight="true" outlineLevel="0" collapsed="false">
      <c r="A450" s="625" t="s">
        <v>484</v>
      </c>
      <c r="B450" s="576" t="s">
        <v>2632</v>
      </c>
      <c r="C450" s="625" t="s">
        <v>2633</v>
      </c>
      <c r="D450" s="559" t="str">
        <f aca="false">A450&amp;" "&amp;HLOOKUP($C$1,$E$1:$X$4910,ROW(D450))</f>
        <v>LIE Liechtenstein </v>
      </c>
      <c r="E450" s="555" t="s">
        <v>483</v>
      </c>
      <c r="F450" s="556" t="s">
        <v>2634</v>
      </c>
      <c r="G450" s="555" t="s">
        <v>2634</v>
      </c>
      <c r="H450" s="555" t="s">
        <v>483</v>
      </c>
      <c r="I450" s="555" t="s">
        <v>483</v>
      </c>
      <c r="J450" s="556" t="str">
        <f aca="false">"[pt]"&amp;E450</f>
        <v>[pt]Liechtenstein</v>
      </c>
      <c r="K450" s="556" t="str">
        <f aca="false">"[gr]"&amp;E450</f>
        <v>[gr]Liechtenstein</v>
      </c>
      <c r="L450" s="627" t="s">
        <v>484</v>
      </c>
      <c r="M450" s="557" t="str">
        <f aca="false">IF(L450=A450,"","nix")</f>
        <v/>
      </c>
    </row>
    <row r="451" customFormat="false" ht="15.75" hidden="false" customHeight="true" outlineLevel="0" collapsed="false">
      <c r="A451" s="625" t="s">
        <v>486</v>
      </c>
      <c r="B451" s="576" t="s">
        <v>2635</v>
      </c>
      <c r="C451" s="625" t="s">
        <v>2636</v>
      </c>
      <c r="D451" s="559" t="str">
        <f aca="false">A451&amp;" "&amp;HLOOKUP($C$1,$E$1:$X$4910,ROW(D451))</f>
        <v>LKA Sri Lanka </v>
      </c>
      <c r="E451" s="555" t="s">
        <v>485</v>
      </c>
      <c r="F451" s="556" t="s">
        <v>2637</v>
      </c>
      <c r="G451" s="555" t="s">
        <v>2637</v>
      </c>
      <c r="H451" s="555" t="s">
        <v>485</v>
      </c>
      <c r="I451" s="555" t="s">
        <v>485</v>
      </c>
      <c r="J451" s="556" t="str">
        <f aca="false">"[pt]"&amp;E451</f>
        <v>[pt]Sri Lanka</v>
      </c>
      <c r="K451" s="556" t="str">
        <f aca="false">"[gr]"&amp;E451</f>
        <v>[gr]Sri Lanka</v>
      </c>
      <c r="L451" s="627" t="s">
        <v>486</v>
      </c>
      <c r="M451" s="557" t="str">
        <f aca="false">IF(L451=A451,"","nix")</f>
        <v/>
      </c>
    </row>
    <row r="452" customFormat="false" ht="15.75" hidden="false" customHeight="true" outlineLevel="0" collapsed="false">
      <c r="A452" s="625" t="s">
        <v>488</v>
      </c>
      <c r="B452" s="576" t="s">
        <v>2638</v>
      </c>
      <c r="C452" s="625" t="s">
        <v>2639</v>
      </c>
      <c r="D452" s="559" t="str">
        <f aca="false">A452&amp;" "&amp;HLOOKUP($C$1,$E$1:$X$4910,ROW(D452))</f>
        <v>LSO Lesotho </v>
      </c>
      <c r="E452" s="555" t="s">
        <v>487</v>
      </c>
      <c r="F452" s="556" t="s">
        <v>2640</v>
      </c>
      <c r="G452" s="555" t="s">
        <v>2640</v>
      </c>
      <c r="H452" s="555" t="s">
        <v>2641</v>
      </c>
      <c r="I452" s="555" t="s">
        <v>487</v>
      </c>
      <c r="J452" s="556" t="str">
        <f aca="false">"[pt]"&amp;E452</f>
        <v>[pt]Lesotho</v>
      </c>
      <c r="K452" s="556" t="str">
        <f aca="false">"[gr]"&amp;E452</f>
        <v>[gr]Lesotho</v>
      </c>
      <c r="L452" s="627" t="s">
        <v>488</v>
      </c>
      <c r="M452" s="557" t="str">
        <f aca="false">IF(L452=A452,"","nix")</f>
        <v/>
      </c>
    </row>
    <row r="453" customFormat="false" ht="15.75" hidden="false" customHeight="true" outlineLevel="0" collapsed="false">
      <c r="A453" s="625" t="s">
        <v>490</v>
      </c>
      <c r="B453" s="576" t="s">
        <v>2642</v>
      </c>
      <c r="C453" s="625" t="s">
        <v>2643</v>
      </c>
      <c r="D453" s="559" t="str">
        <f aca="false">A453&amp;" "&amp;HLOOKUP($C$1,$E$1:$X$4910,ROW(D453))</f>
        <v>LTU Lithuania </v>
      </c>
      <c r="E453" s="555" t="s">
        <v>2644</v>
      </c>
      <c r="F453" s="556" t="s">
        <v>2645</v>
      </c>
      <c r="G453" s="555" t="s">
        <v>2646</v>
      </c>
      <c r="H453" s="555" t="s">
        <v>2647</v>
      </c>
      <c r="I453" s="555" t="s">
        <v>2648</v>
      </c>
      <c r="J453" s="556" t="str">
        <f aca="false">"[pt]"&amp;E453</f>
        <v>[pt]Litauen</v>
      </c>
      <c r="K453" s="556" t="str">
        <f aca="false">"[gr]"&amp;E453</f>
        <v>[gr]Litauen</v>
      </c>
      <c r="L453" s="627" t="s">
        <v>490</v>
      </c>
      <c r="M453" s="557" t="str">
        <f aca="false">IF(L453=A453,"","nix")</f>
        <v/>
      </c>
    </row>
    <row r="454" customFormat="false" ht="15.75" hidden="false" customHeight="true" outlineLevel="0" collapsed="false">
      <c r="A454" s="625" t="s">
        <v>492</v>
      </c>
      <c r="B454" s="576" t="s">
        <v>2649</v>
      </c>
      <c r="C454" s="625" t="s">
        <v>2650</v>
      </c>
      <c r="D454" s="559" t="str">
        <f aca="false">A454&amp;" "&amp;HLOOKUP($C$1,$E$1:$X$4910,ROW(D454))</f>
        <v>LUX Luxembourg </v>
      </c>
      <c r="E454" s="555" t="s">
        <v>2651</v>
      </c>
      <c r="F454" s="556" t="s">
        <v>2652</v>
      </c>
      <c r="G454" s="555" t="s">
        <v>2653</v>
      </c>
      <c r="H454" s="555" t="s">
        <v>2654</v>
      </c>
      <c r="I454" s="555" t="s">
        <v>491</v>
      </c>
      <c r="J454" s="556" t="str">
        <f aca="false">"[pt]"&amp;E454</f>
        <v>[pt]Luxemburg</v>
      </c>
      <c r="K454" s="556" t="str">
        <f aca="false">"[gr]"&amp;E454</f>
        <v>[gr]Luxemburg</v>
      </c>
      <c r="L454" s="627" t="s">
        <v>492</v>
      </c>
      <c r="M454" s="557" t="str">
        <f aca="false">IF(L454=A454,"","nix")</f>
        <v/>
      </c>
    </row>
    <row r="455" customFormat="false" ht="15.75" hidden="false" customHeight="true" outlineLevel="0" collapsed="false">
      <c r="A455" s="625" t="s">
        <v>494</v>
      </c>
      <c r="B455" s="576" t="s">
        <v>2655</v>
      </c>
      <c r="C455" s="625" t="s">
        <v>2656</v>
      </c>
      <c r="D455" s="559" t="str">
        <f aca="false">A455&amp;" "&amp;HLOOKUP($C$1,$E$1:$X$4910,ROW(D455))</f>
        <v>LVA Latvia </v>
      </c>
      <c r="E455" s="555" t="s">
        <v>2657</v>
      </c>
      <c r="F455" s="556" t="s">
        <v>2658</v>
      </c>
      <c r="G455" s="555" t="s">
        <v>2659</v>
      </c>
      <c r="H455" s="555" t="s">
        <v>2660</v>
      </c>
      <c r="I455" s="555" t="s">
        <v>2661</v>
      </c>
      <c r="J455" s="556" t="str">
        <f aca="false">"[pt]"&amp;E455</f>
        <v>[pt]Lettland</v>
      </c>
      <c r="K455" s="556" t="str">
        <f aca="false">"[gr]"&amp;E455</f>
        <v>[gr]Lettland</v>
      </c>
      <c r="L455" s="627" t="s">
        <v>494</v>
      </c>
      <c r="M455" s="557" t="str">
        <f aca="false">IF(L455=A455,"","nix")</f>
        <v/>
      </c>
    </row>
    <row r="456" customFormat="false" ht="15.75" hidden="false" customHeight="true" outlineLevel="0" collapsed="false">
      <c r="A456" s="625" t="s">
        <v>496</v>
      </c>
      <c r="B456" s="576" t="s">
        <v>2662</v>
      </c>
      <c r="C456" s="625" t="s">
        <v>2663</v>
      </c>
      <c r="D456" s="559" t="str">
        <f aca="false">A456&amp;" "&amp;HLOOKUP($C$1,$E$1:$X$4910,ROW(D456))</f>
        <v>MAC Macao </v>
      </c>
      <c r="E456" s="555" t="s">
        <v>2664</v>
      </c>
      <c r="F456" s="556" t="s">
        <v>2665</v>
      </c>
      <c r="G456" s="555" t="s">
        <v>2665</v>
      </c>
      <c r="H456" s="555" t="s">
        <v>2664</v>
      </c>
      <c r="I456" s="555" t="s">
        <v>2664</v>
      </c>
      <c r="J456" s="556" t="str">
        <f aca="false">"[pt]"&amp;E456</f>
        <v>[pt]Macao</v>
      </c>
      <c r="K456" s="556" t="str">
        <f aca="false">"[gr]"&amp;E456</f>
        <v>[gr]Macao</v>
      </c>
      <c r="L456" s="627" t="s">
        <v>496</v>
      </c>
      <c r="M456" s="557" t="str">
        <f aca="false">IF(L456=A456,"","nix")</f>
        <v/>
      </c>
    </row>
    <row r="457" customFormat="false" ht="15.75" hidden="false" customHeight="true" outlineLevel="0" collapsed="false">
      <c r="A457" s="625" t="s">
        <v>498</v>
      </c>
      <c r="B457" s="576" t="s">
        <v>2666</v>
      </c>
      <c r="C457" s="625" t="s">
        <v>2667</v>
      </c>
      <c r="D457" s="559" t="str">
        <f aca="false">A457&amp;" "&amp;HLOOKUP($C$1,$E$1:$X$4910,ROW(D457))</f>
        <v>MAF Saint Martin (French part) </v>
      </c>
      <c r="E457" s="555" t="s">
        <v>2668</v>
      </c>
      <c r="F457" s="556" t="s">
        <v>2669</v>
      </c>
      <c r="G457" s="555" t="s">
        <v>2670</v>
      </c>
      <c r="H457" s="555" t="s">
        <v>2671</v>
      </c>
      <c r="I457" s="555" t="s">
        <v>2672</v>
      </c>
      <c r="J457" s="556" t="str">
        <f aca="false">"[pt]"&amp;E457</f>
        <v>[pt]Saint-Martin (franz. Teil)</v>
      </c>
      <c r="K457" s="556" t="str">
        <f aca="false">"[gr]"&amp;E457</f>
        <v>[gr]Saint-Martin (franz. Teil)</v>
      </c>
      <c r="L457" s="627" t="s">
        <v>498</v>
      </c>
      <c r="M457" s="557" t="str">
        <f aca="false">IF(L457=A457,"","nix")</f>
        <v/>
      </c>
    </row>
    <row r="458" customFormat="false" ht="15.75" hidden="false" customHeight="true" outlineLevel="0" collapsed="false">
      <c r="A458" s="625" t="s">
        <v>500</v>
      </c>
      <c r="B458" s="576" t="s">
        <v>2673</v>
      </c>
      <c r="C458" s="625" t="s">
        <v>2674</v>
      </c>
      <c r="D458" s="559" t="str">
        <f aca="false">A458&amp;" "&amp;HLOOKUP($C$1,$E$1:$X$4910,ROW(D458))</f>
        <v>MAR Morocco </v>
      </c>
      <c r="E458" s="555" t="s">
        <v>2675</v>
      </c>
      <c r="F458" s="556" t="s">
        <v>2676</v>
      </c>
      <c r="G458" s="555" t="s">
        <v>2677</v>
      </c>
      <c r="H458" s="555" t="s">
        <v>2678</v>
      </c>
      <c r="I458" s="555" t="s">
        <v>2679</v>
      </c>
      <c r="J458" s="556" t="str">
        <f aca="false">"[pt]"&amp;E458</f>
        <v>[pt]Marokko</v>
      </c>
      <c r="K458" s="556" t="str">
        <f aca="false">"[gr]"&amp;E458</f>
        <v>[gr]Marokko</v>
      </c>
      <c r="L458" s="627" t="s">
        <v>500</v>
      </c>
      <c r="M458" s="557" t="str">
        <f aca="false">IF(L458=A458,"","nix")</f>
        <v/>
      </c>
    </row>
    <row r="459" customFormat="false" ht="15.75" hidden="false" customHeight="true" outlineLevel="0" collapsed="false">
      <c r="A459" s="625" t="s">
        <v>502</v>
      </c>
      <c r="B459" s="576" t="s">
        <v>2680</v>
      </c>
      <c r="C459" s="625" t="s">
        <v>2681</v>
      </c>
      <c r="D459" s="559" t="str">
        <f aca="false">A459&amp;" "&amp;HLOOKUP($C$1,$E$1:$X$4910,ROW(D459))</f>
        <v>MCO Monaco </v>
      </c>
      <c r="E459" s="555" t="s">
        <v>501</v>
      </c>
      <c r="F459" s="556" t="s">
        <v>2682</v>
      </c>
      <c r="G459" s="555" t="s">
        <v>2683</v>
      </c>
      <c r="H459" s="555" t="s">
        <v>2684</v>
      </c>
      <c r="I459" s="555" t="s">
        <v>501</v>
      </c>
      <c r="J459" s="556" t="str">
        <f aca="false">"[pt]"&amp;E459</f>
        <v>[pt]Monaco</v>
      </c>
      <c r="K459" s="556" t="str">
        <f aca="false">"[gr]"&amp;E459</f>
        <v>[gr]Monaco</v>
      </c>
      <c r="L459" s="627" t="s">
        <v>502</v>
      </c>
      <c r="M459" s="557" t="str">
        <f aca="false">IF(L459=A459,"","nix")</f>
        <v/>
      </c>
    </row>
    <row r="460" customFormat="false" ht="15.75" hidden="false" customHeight="true" outlineLevel="0" collapsed="false">
      <c r="A460" s="625" t="s">
        <v>504</v>
      </c>
      <c r="B460" s="576" t="s">
        <v>2685</v>
      </c>
      <c r="C460" s="625" t="s">
        <v>2686</v>
      </c>
      <c r="D460" s="559" t="str">
        <f aca="false">A460&amp;" "&amp;HLOOKUP($C$1,$E$1:$X$4910,ROW(D460))</f>
        <v>MDA Moldova, Republic of </v>
      </c>
      <c r="E460" s="555" t="s">
        <v>2687</v>
      </c>
      <c r="F460" s="556" t="s">
        <v>2688</v>
      </c>
      <c r="G460" s="555" t="s">
        <v>2689</v>
      </c>
      <c r="H460" s="555" t="s">
        <v>2690</v>
      </c>
      <c r="I460" s="555" t="s">
        <v>2691</v>
      </c>
      <c r="J460" s="556" t="str">
        <f aca="false">"[pt]"&amp;E460</f>
        <v>[pt]Moldawien (Republik Moldau)</v>
      </c>
      <c r="K460" s="556" t="str">
        <f aca="false">"[gr]"&amp;E460</f>
        <v>[gr]Moldawien (Republik Moldau)</v>
      </c>
      <c r="L460" s="627" t="s">
        <v>504</v>
      </c>
      <c r="M460" s="557" t="str">
        <f aca="false">IF(L460=A460,"","nix")</f>
        <v/>
      </c>
    </row>
    <row r="461" customFormat="false" ht="15.75" hidden="false" customHeight="true" outlineLevel="0" collapsed="false">
      <c r="A461" s="625" t="s">
        <v>506</v>
      </c>
      <c r="B461" s="576" t="s">
        <v>2692</v>
      </c>
      <c r="C461" s="625" t="s">
        <v>2693</v>
      </c>
      <c r="D461" s="559" t="str">
        <f aca="false">A461&amp;" "&amp;HLOOKUP($C$1,$E$1:$X$4910,ROW(D461))</f>
        <v>MDG Madagascar </v>
      </c>
      <c r="E461" s="555" t="s">
        <v>2694</v>
      </c>
      <c r="F461" s="556" t="s">
        <v>2695</v>
      </c>
      <c r="G461" s="555" t="s">
        <v>2695</v>
      </c>
      <c r="H461" s="555" t="s">
        <v>505</v>
      </c>
      <c r="I461" s="555" t="s">
        <v>505</v>
      </c>
      <c r="J461" s="556" t="str">
        <f aca="false">"[pt]"&amp;E461</f>
        <v>[pt]Madagaskar</v>
      </c>
      <c r="K461" s="556" t="str">
        <f aca="false">"[gr]"&amp;E461</f>
        <v>[gr]Madagaskar</v>
      </c>
      <c r="L461" s="627" t="s">
        <v>506</v>
      </c>
      <c r="M461" s="557" t="str">
        <f aca="false">IF(L461=A461,"","nix")</f>
        <v/>
      </c>
    </row>
    <row r="462" customFormat="false" ht="15.75" hidden="false" customHeight="true" outlineLevel="0" collapsed="false">
      <c r="A462" s="625" t="s">
        <v>508</v>
      </c>
      <c r="B462" s="576" t="s">
        <v>2696</v>
      </c>
      <c r="C462" s="625" t="s">
        <v>2697</v>
      </c>
      <c r="D462" s="559" t="str">
        <f aca="false">A462&amp;" "&amp;HLOOKUP($C$1,$E$1:$X$4910,ROW(D462))</f>
        <v>MDV Maldives </v>
      </c>
      <c r="E462" s="555" t="s">
        <v>2698</v>
      </c>
      <c r="F462" s="556" t="s">
        <v>2699</v>
      </c>
      <c r="G462" s="555" t="s">
        <v>2700</v>
      </c>
      <c r="H462" s="555" t="s">
        <v>2701</v>
      </c>
      <c r="I462" s="555" t="s">
        <v>507</v>
      </c>
      <c r="J462" s="556" t="str">
        <f aca="false">"[pt]"&amp;E462</f>
        <v>[pt]Malediven</v>
      </c>
      <c r="K462" s="556" t="str">
        <f aca="false">"[gr]"&amp;E462</f>
        <v>[gr]Malediven</v>
      </c>
      <c r="L462" s="627" t="s">
        <v>508</v>
      </c>
      <c r="M462" s="557" t="str">
        <f aca="false">IF(L462=A462,"","nix")</f>
        <v/>
      </c>
    </row>
    <row r="463" customFormat="false" ht="15.75" hidden="false" customHeight="true" outlineLevel="0" collapsed="false">
      <c r="A463" s="625" t="s">
        <v>510</v>
      </c>
      <c r="B463" s="576" t="s">
        <v>2702</v>
      </c>
      <c r="C463" s="625" t="s">
        <v>2703</v>
      </c>
      <c r="D463" s="559" t="str">
        <f aca="false">A463&amp;" "&amp;HLOOKUP($C$1,$E$1:$X$4910,ROW(D463))</f>
        <v>MEX Mexico </v>
      </c>
      <c r="E463" s="555" t="s">
        <v>2704</v>
      </c>
      <c r="F463" s="556" t="s">
        <v>2705</v>
      </c>
      <c r="G463" s="555" t="s">
        <v>2706</v>
      </c>
      <c r="H463" s="555" t="s">
        <v>2707</v>
      </c>
      <c r="I463" s="555" t="s">
        <v>2708</v>
      </c>
      <c r="J463" s="556" t="str">
        <f aca="false">"[pt]"&amp;E463</f>
        <v>[pt]Mexiko</v>
      </c>
      <c r="K463" s="556" t="str">
        <f aca="false">"[gr]"&amp;E463</f>
        <v>[gr]Mexiko</v>
      </c>
      <c r="L463" s="627" t="s">
        <v>510</v>
      </c>
      <c r="M463" s="557" t="str">
        <f aca="false">IF(L463=A463,"","nix")</f>
        <v/>
      </c>
    </row>
    <row r="464" customFormat="false" ht="15.75" hidden="false" customHeight="true" outlineLevel="0" collapsed="false">
      <c r="A464" s="625" t="s">
        <v>512</v>
      </c>
      <c r="B464" s="576" t="s">
        <v>2709</v>
      </c>
      <c r="C464" s="625" t="s">
        <v>2710</v>
      </c>
      <c r="D464" s="559" t="str">
        <f aca="false">A464&amp;" "&amp;HLOOKUP($C$1,$E$1:$X$4910,ROW(D464))</f>
        <v>MHL Marshall Islands </v>
      </c>
      <c r="E464" s="555" t="s">
        <v>2711</v>
      </c>
      <c r="F464" s="556" t="s">
        <v>2712</v>
      </c>
      <c r="G464" s="555" t="s">
        <v>2713</v>
      </c>
      <c r="H464" s="555" t="s">
        <v>2714</v>
      </c>
      <c r="I464" s="555" t="s">
        <v>2715</v>
      </c>
      <c r="J464" s="556" t="str">
        <f aca="false">"[pt]"&amp;E464</f>
        <v>[pt]Marshallinseln</v>
      </c>
      <c r="K464" s="556" t="str">
        <f aca="false">"[gr]"&amp;E464</f>
        <v>[gr]Marshallinseln</v>
      </c>
      <c r="L464" s="627" t="s">
        <v>512</v>
      </c>
      <c r="M464" s="557" t="str">
        <f aca="false">IF(L464=A464,"","nix")</f>
        <v/>
      </c>
    </row>
    <row r="465" customFormat="false" ht="15.75" hidden="false" customHeight="true" outlineLevel="0" collapsed="false">
      <c r="A465" s="625" t="s">
        <v>514</v>
      </c>
      <c r="B465" s="576" t="s">
        <v>2716</v>
      </c>
      <c r="C465" s="625" t="s">
        <v>2717</v>
      </c>
      <c r="D465" s="559" t="str">
        <f aca="false">A465&amp;" "&amp;HLOOKUP($C$1,$E$1:$X$4910,ROW(D465))</f>
        <v>MKD Macedonia, The Former Yugoslav Republic of </v>
      </c>
      <c r="E465" s="555" t="s">
        <v>2718</v>
      </c>
      <c r="F465" s="556" t="s">
        <v>2719</v>
      </c>
      <c r="G465" s="555" t="s">
        <v>2720</v>
      </c>
      <c r="H465" s="555" t="s">
        <v>2721</v>
      </c>
      <c r="I465" s="555" t="s">
        <v>2722</v>
      </c>
      <c r="J465" s="556" t="str">
        <f aca="false">"[pt]"&amp;E465</f>
        <v>[pt]Mazedonien</v>
      </c>
      <c r="K465" s="556" t="str">
        <f aca="false">"[gr]"&amp;E465</f>
        <v>[gr]Mazedonien</v>
      </c>
      <c r="L465" s="627" t="s">
        <v>514</v>
      </c>
      <c r="M465" s="557" t="str">
        <f aca="false">IF(L465=A465,"","nix")</f>
        <v/>
      </c>
    </row>
    <row r="466" customFormat="false" ht="15.75" hidden="false" customHeight="true" outlineLevel="0" collapsed="false">
      <c r="A466" s="625" t="s">
        <v>516</v>
      </c>
      <c r="B466" s="576" t="s">
        <v>2723</v>
      </c>
      <c r="C466" s="625" t="s">
        <v>2724</v>
      </c>
      <c r="D466" s="559" t="str">
        <f aca="false">A466&amp;" "&amp;HLOOKUP($C$1,$E$1:$X$4910,ROW(D466))</f>
        <v>MLI Mali </v>
      </c>
      <c r="E466" s="555" t="s">
        <v>515</v>
      </c>
      <c r="F466" s="556" t="s">
        <v>2725</v>
      </c>
      <c r="G466" s="555" t="s">
        <v>2725</v>
      </c>
      <c r="H466" s="555" t="s">
        <v>2726</v>
      </c>
      <c r="I466" s="555" t="s">
        <v>515</v>
      </c>
      <c r="J466" s="556" t="str">
        <f aca="false">"[pt]"&amp;E466</f>
        <v>[pt]Mali</v>
      </c>
      <c r="K466" s="556" t="str">
        <f aca="false">"[gr]"&amp;E466</f>
        <v>[gr]Mali</v>
      </c>
      <c r="L466" s="627" t="s">
        <v>516</v>
      </c>
      <c r="M466" s="557" t="str">
        <f aca="false">IF(L466=A466,"","nix")</f>
        <v/>
      </c>
    </row>
    <row r="467" customFormat="false" ht="15.75" hidden="false" customHeight="true" outlineLevel="0" collapsed="false">
      <c r="A467" s="625" t="s">
        <v>518</v>
      </c>
      <c r="B467" s="576" t="s">
        <v>2727</v>
      </c>
      <c r="C467" s="625" t="s">
        <v>2728</v>
      </c>
      <c r="D467" s="559" t="str">
        <f aca="false">A467&amp;" "&amp;HLOOKUP($C$1,$E$1:$X$4910,ROW(D467))</f>
        <v>MLT Malta </v>
      </c>
      <c r="E467" s="555" t="s">
        <v>517</v>
      </c>
      <c r="F467" s="556" t="s">
        <v>2729</v>
      </c>
      <c r="G467" s="555" t="s">
        <v>2729</v>
      </c>
      <c r="H467" s="555" t="s">
        <v>517</v>
      </c>
      <c r="I467" s="555" t="s">
        <v>2730</v>
      </c>
      <c r="J467" s="556" t="str">
        <f aca="false">"[pt]"&amp;E467</f>
        <v>[pt]Malta</v>
      </c>
      <c r="K467" s="556" t="str">
        <f aca="false">"[gr]"&amp;E467</f>
        <v>[gr]Malta</v>
      </c>
      <c r="L467" s="627" t="s">
        <v>518</v>
      </c>
      <c r="M467" s="557" t="str">
        <f aca="false">IF(L467=A467,"","nix")</f>
        <v/>
      </c>
    </row>
    <row r="468" customFormat="false" ht="15.75" hidden="false" customHeight="true" outlineLevel="0" collapsed="false">
      <c r="A468" s="625" t="s">
        <v>520</v>
      </c>
      <c r="B468" s="576" t="s">
        <v>2731</v>
      </c>
      <c r="C468" s="625" t="s">
        <v>2732</v>
      </c>
      <c r="D468" s="559" t="str">
        <f aca="false">A468&amp;" "&amp;HLOOKUP($C$1,$E$1:$X$4910,ROW(D468))</f>
        <v>MMR Myanmar </v>
      </c>
      <c r="E468" s="555" t="s">
        <v>2733</v>
      </c>
      <c r="F468" s="556" t="s">
        <v>2734</v>
      </c>
      <c r="G468" s="555" t="s">
        <v>2735</v>
      </c>
      <c r="H468" s="555" t="s">
        <v>2736</v>
      </c>
      <c r="I468" s="555" t="s">
        <v>519</v>
      </c>
      <c r="J468" s="556" t="str">
        <f aca="false">"[pt]"&amp;E468</f>
        <v>[pt]Myanmar (Burma)</v>
      </c>
      <c r="K468" s="556" t="str">
        <f aca="false">"[gr]"&amp;E468</f>
        <v>[gr]Myanmar (Burma)</v>
      </c>
      <c r="L468" s="627" t="s">
        <v>520</v>
      </c>
      <c r="M468" s="557" t="str">
        <f aca="false">IF(L468=A468,"","nix")</f>
        <v/>
      </c>
    </row>
    <row r="469" customFormat="false" ht="15.75" hidden="false" customHeight="true" outlineLevel="0" collapsed="false">
      <c r="A469" s="625" t="s">
        <v>522</v>
      </c>
      <c r="B469" s="576" t="s">
        <v>2737</v>
      </c>
      <c r="C469" s="625" t="s">
        <v>2738</v>
      </c>
      <c r="D469" s="559" t="str">
        <f aca="false">A469&amp;" "&amp;HLOOKUP($C$1,$E$1:$X$4910,ROW(D469))</f>
        <v>MNE Montenegro </v>
      </c>
      <c r="E469" s="555" t="s">
        <v>521</v>
      </c>
      <c r="F469" s="556" t="s">
        <v>2739</v>
      </c>
      <c r="G469" s="555" t="s">
        <v>2739</v>
      </c>
      <c r="H469" s="555" t="s">
        <v>521</v>
      </c>
      <c r="I469" s="555" t="s">
        <v>2740</v>
      </c>
      <c r="J469" s="556" t="str">
        <f aca="false">"[pt]"&amp;E469</f>
        <v>[pt]Montenegro</v>
      </c>
      <c r="K469" s="556" t="str">
        <f aca="false">"[gr]"&amp;E469</f>
        <v>[gr]Montenegro</v>
      </c>
      <c r="L469" s="627" t="s">
        <v>522</v>
      </c>
      <c r="M469" s="557" t="str">
        <f aca="false">IF(L469=A469,"","nix")</f>
        <v/>
      </c>
    </row>
    <row r="470" customFormat="false" ht="15.75" hidden="false" customHeight="true" outlineLevel="0" collapsed="false">
      <c r="A470" s="625" t="s">
        <v>524</v>
      </c>
      <c r="B470" s="576" t="s">
        <v>2741</v>
      </c>
      <c r="C470" s="625" t="s">
        <v>2742</v>
      </c>
      <c r="D470" s="559" t="str">
        <f aca="false">A470&amp;" "&amp;HLOOKUP($C$1,$E$1:$X$4910,ROW(D470))</f>
        <v>MNG Mongolia </v>
      </c>
      <c r="E470" s="555" t="s">
        <v>2743</v>
      </c>
      <c r="F470" s="556" t="s">
        <v>2744</v>
      </c>
      <c r="G470" s="555" t="s">
        <v>2744</v>
      </c>
      <c r="H470" s="555" t="s">
        <v>523</v>
      </c>
      <c r="I470" s="555" t="s">
        <v>2745</v>
      </c>
      <c r="J470" s="556" t="str">
        <f aca="false">"[pt]"&amp;E470</f>
        <v>[pt]Mongolei</v>
      </c>
      <c r="K470" s="556" t="str">
        <f aca="false">"[gr]"&amp;E470</f>
        <v>[gr]Mongolei</v>
      </c>
      <c r="L470" s="627" t="s">
        <v>524</v>
      </c>
      <c r="M470" s="557" t="str">
        <f aca="false">IF(L470=A470,"","nix")</f>
        <v/>
      </c>
    </row>
    <row r="471" customFormat="false" ht="15.75" hidden="false" customHeight="true" outlineLevel="0" collapsed="false">
      <c r="A471" s="625" t="s">
        <v>526</v>
      </c>
      <c r="B471" s="576" t="s">
        <v>2746</v>
      </c>
      <c r="C471" s="625" t="s">
        <v>2747</v>
      </c>
      <c r="D471" s="559" t="str">
        <f aca="false">A471&amp;" "&amp;HLOOKUP($C$1,$E$1:$X$4910,ROW(D471))</f>
        <v>MNP Northern Mariana Islands </v>
      </c>
      <c r="E471" s="555" t="s">
        <v>2748</v>
      </c>
      <c r="F471" s="556" t="s">
        <v>2749</v>
      </c>
      <c r="G471" s="555" t="s">
        <v>2750</v>
      </c>
      <c r="H471" s="555" t="s">
        <v>2751</v>
      </c>
      <c r="I471" s="555" t="s">
        <v>2752</v>
      </c>
      <c r="J471" s="556" t="str">
        <f aca="false">"[pt]"&amp;E471</f>
        <v>[pt]Nördliche Marianen</v>
      </c>
      <c r="K471" s="556" t="str">
        <f aca="false">"[gr]"&amp;E471</f>
        <v>[gr]Nördliche Marianen</v>
      </c>
      <c r="L471" s="627" t="s">
        <v>526</v>
      </c>
      <c r="M471" s="557" t="str">
        <f aca="false">IF(L471=A471,"","nix")</f>
        <v/>
      </c>
    </row>
    <row r="472" customFormat="false" ht="15.75" hidden="false" customHeight="true" outlineLevel="0" collapsed="false">
      <c r="A472" s="625" t="s">
        <v>528</v>
      </c>
      <c r="B472" s="576" t="s">
        <v>2753</v>
      </c>
      <c r="C472" s="625" t="s">
        <v>2754</v>
      </c>
      <c r="D472" s="559" t="str">
        <f aca="false">A472&amp;" "&amp;HLOOKUP($C$1,$E$1:$X$4910,ROW(D472))</f>
        <v>MOZ Mozambique </v>
      </c>
      <c r="E472" s="555" t="s">
        <v>2755</v>
      </c>
      <c r="F472" s="556" t="s">
        <v>2756</v>
      </c>
      <c r="G472" s="555" t="s">
        <v>2757</v>
      </c>
      <c r="H472" s="555" t="s">
        <v>527</v>
      </c>
      <c r="I472" s="555" t="s">
        <v>527</v>
      </c>
      <c r="J472" s="556" t="str">
        <f aca="false">"[pt]"&amp;E472</f>
        <v>[pt]Mosambik</v>
      </c>
      <c r="K472" s="556" t="str">
        <f aca="false">"[gr]"&amp;E472</f>
        <v>[gr]Mosambik</v>
      </c>
      <c r="L472" s="627" t="s">
        <v>528</v>
      </c>
      <c r="M472" s="557" t="str">
        <f aca="false">IF(L472=A472,"","nix")</f>
        <v/>
      </c>
    </row>
    <row r="473" customFormat="false" ht="15.75" hidden="false" customHeight="true" outlineLevel="0" collapsed="false">
      <c r="A473" s="625" t="s">
        <v>530</v>
      </c>
      <c r="B473" s="576" t="s">
        <v>2758</v>
      </c>
      <c r="C473" s="625" t="s">
        <v>2759</v>
      </c>
      <c r="D473" s="559" t="str">
        <f aca="false">A473&amp;" "&amp;HLOOKUP($C$1,$E$1:$X$4910,ROW(D473))</f>
        <v>MRT Mauritania </v>
      </c>
      <c r="E473" s="555" t="s">
        <v>2760</v>
      </c>
      <c r="F473" s="556" t="s">
        <v>2761</v>
      </c>
      <c r="G473" s="555" t="s">
        <v>2761</v>
      </c>
      <c r="H473" s="555" t="s">
        <v>529</v>
      </c>
      <c r="I473" s="555" t="s">
        <v>2762</v>
      </c>
      <c r="J473" s="556" t="str">
        <f aca="false">"[pt]"&amp;E473</f>
        <v>[pt]Mauretanien</v>
      </c>
      <c r="K473" s="556" t="str">
        <f aca="false">"[gr]"&amp;E473</f>
        <v>[gr]Mauretanien</v>
      </c>
      <c r="L473" s="627" t="s">
        <v>530</v>
      </c>
      <c r="M473" s="557" t="str">
        <f aca="false">IF(L473=A473,"","nix")</f>
        <v/>
      </c>
    </row>
    <row r="474" customFormat="false" ht="15.75" hidden="false" customHeight="true" outlineLevel="0" collapsed="false">
      <c r="A474" s="625" t="s">
        <v>532</v>
      </c>
      <c r="B474" s="576" t="s">
        <v>2763</v>
      </c>
      <c r="C474" s="625" t="s">
        <v>2764</v>
      </c>
      <c r="D474" s="559" t="str">
        <f aca="false">A474&amp;" "&amp;HLOOKUP($C$1,$E$1:$X$4910,ROW(D474))</f>
        <v>MUS Mauritius </v>
      </c>
      <c r="E474" s="555" t="s">
        <v>531</v>
      </c>
      <c r="F474" s="556" t="s">
        <v>2765</v>
      </c>
      <c r="G474" s="555" t="s">
        <v>2765</v>
      </c>
      <c r="H474" s="555" t="s">
        <v>2766</v>
      </c>
      <c r="I474" s="555" t="s">
        <v>2767</v>
      </c>
      <c r="J474" s="556" t="str">
        <f aca="false">"[pt]"&amp;E474</f>
        <v>[pt]Mauritius</v>
      </c>
      <c r="K474" s="556" t="str">
        <f aca="false">"[gr]"&amp;E474</f>
        <v>[gr]Mauritius</v>
      </c>
      <c r="L474" s="627" t="s">
        <v>532</v>
      </c>
      <c r="M474" s="557" t="str">
        <f aca="false">IF(L474=A474,"","nix")</f>
        <v/>
      </c>
    </row>
    <row r="475" customFormat="false" ht="15.75" hidden="false" customHeight="true" outlineLevel="0" collapsed="false">
      <c r="A475" s="625" t="s">
        <v>534</v>
      </c>
      <c r="B475" s="576" t="s">
        <v>2768</v>
      </c>
      <c r="C475" s="625" t="s">
        <v>2769</v>
      </c>
      <c r="D475" s="559" t="str">
        <f aca="false">A475&amp;" "&amp;HLOOKUP($C$1,$E$1:$X$4910,ROW(D475))</f>
        <v>MWI Malawi </v>
      </c>
      <c r="E475" s="555" t="s">
        <v>533</v>
      </c>
      <c r="F475" s="556" t="s">
        <v>2770</v>
      </c>
      <c r="G475" s="555" t="s">
        <v>2770</v>
      </c>
      <c r="H475" s="555" t="s">
        <v>2771</v>
      </c>
      <c r="I475" s="555" t="s">
        <v>533</v>
      </c>
      <c r="J475" s="556" t="str">
        <f aca="false">"[pt]"&amp;E475</f>
        <v>[pt]Malawi</v>
      </c>
      <c r="K475" s="556" t="str">
        <f aca="false">"[gr]"&amp;E475</f>
        <v>[gr]Malawi</v>
      </c>
      <c r="L475" s="627" t="s">
        <v>534</v>
      </c>
      <c r="M475" s="557" t="str">
        <f aca="false">IF(L475=A475,"","nix")</f>
        <v/>
      </c>
    </row>
    <row r="476" customFormat="false" ht="15.75" hidden="false" customHeight="true" outlineLevel="0" collapsed="false">
      <c r="A476" s="625" t="s">
        <v>536</v>
      </c>
      <c r="B476" s="576" t="s">
        <v>2772</v>
      </c>
      <c r="C476" s="625" t="s">
        <v>2773</v>
      </c>
      <c r="D476" s="559" t="str">
        <f aca="false">A476&amp;" "&amp;HLOOKUP($C$1,$E$1:$X$4910,ROW(D476))</f>
        <v>MYS Malaysia </v>
      </c>
      <c r="E476" s="555" t="s">
        <v>535</v>
      </c>
      <c r="F476" s="556" t="s">
        <v>2774</v>
      </c>
      <c r="G476" s="555" t="s">
        <v>2775</v>
      </c>
      <c r="H476" s="555" t="s">
        <v>2776</v>
      </c>
      <c r="I476" s="555" t="s">
        <v>2777</v>
      </c>
      <c r="J476" s="556" t="str">
        <f aca="false">"[pt]"&amp;E476</f>
        <v>[pt]Malaysia</v>
      </c>
      <c r="K476" s="556" t="str">
        <f aca="false">"[gr]"&amp;E476</f>
        <v>[gr]Malaysia</v>
      </c>
      <c r="L476" s="627" t="s">
        <v>536</v>
      </c>
      <c r="M476" s="557" t="str">
        <f aca="false">IF(L476=A476,"","nix")</f>
        <v/>
      </c>
    </row>
    <row r="477" customFormat="false" ht="15.75" hidden="false" customHeight="true" outlineLevel="0" collapsed="false">
      <c r="A477" s="625" t="s">
        <v>538</v>
      </c>
      <c r="B477" s="576" t="s">
        <v>2778</v>
      </c>
      <c r="C477" s="625" t="s">
        <v>2779</v>
      </c>
      <c r="D477" s="559" t="str">
        <f aca="false">A477&amp;" "&amp;HLOOKUP($C$1,$E$1:$X$4910,ROW(D477))</f>
        <v>NAM Namibia </v>
      </c>
      <c r="E477" s="555" t="s">
        <v>537</v>
      </c>
      <c r="F477" s="556" t="s">
        <v>2780</v>
      </c>
      <c r="G477" s="555" t="s">
        <v>2780</v>
      </c>
      <c r="H477" s="555" t="s">
        <v>537</v>
      </c>
      <c r="I477" s="555" t="s">
        <v>2781</v>
      </c>
      <c r="J477" s="556" t="str">
        <f aca="false">"[pt]"&amp;E477</f>
        <v>[pt]Namibia</v>
      </c>
      <c r="K477" s="556" t="str">
        <f aca="false">"[gr]"&amp;E477</f>
        <v>[gr]Namibia</v>
      </c>
      <c r="L477" s="627" t="s">
        <v>538</v>
      </c>
      <c r="M477" s="557" t="str">
        <f aca="false">IF(L477=A477,"","nix")</f>
        <v/>
      </c>
    </row>
    <row r="478" customFormat="false" ht="15.75" hidden="false" customHeight="true" outlineLevel="0" collapsed="false">
      <c r="A478" s="625" t="s">
        <v>540</v>
      </c>
      <c r="B478" s="576" t="s">
        <v>2782</v>
      </c>
      <c r="C478" s="625" t="s">
        <v>2783</v>
      </c>
      <c r="D478" s="559" t="str">
        <f aca="false">A478&amp;" "&amp;HLOOKUP($C$1,$E$1:$X$4910,ROW(D478))</f>
        <v>NCL New Caledonia </v>
      </c>
      <c r="E478" s="555" t="s">
        <v>2784</v>
      </c>
      <c r="F478" s="556" t="s">
        <v>2785</v>
      </c>
      <c r="G478" s="555" t="s">
        <v>2786</v>
      </c>
      <c r="H478" s="555" t="s">
        <v>2787</v>
      </c>
      <c r="I478" s="555" t="s">
        <v>2788</v>
      </c>
      <c r="J478" s="556" t="str">
        <f aca="false">"[pt]"&amp;E478</f>
        <v>[pt]Neukaledonien</v>
      </c>
      <c r="K478" s="556" t="str">
        <f aca="false">"[gr]"&amp;E478</f>
        <v>[gr]Neukaledonien</v>
      </c>
      <c r="L478" s="627" t="s">
        <v>540</v>
      </c>
      <c r="M478" s="557" t="str">
        <f aca="false">IF(L478=A478,"","nix")</f>
        <v/>
      </c>
    </row>
    <row r="479" customFormat="false" ht="15.75" hidden="false" customHeight="true" outlineLevel="0" collapsed="false">
      <c r="A479" s="625" t="s">
        <v>542</v>
      </c>
      <c r="B479" s="576" t="s">
        <v>2789</v>
      </c>
      <c r="C479" s="625" t="s">
        <v>2790</v>
      </c>
      <c r="D479" s="559" t="str">
        <f aca="false">A479&amp;" "&amp;HLOOKUP($C$1,$E$1:$X$4910,ROW(D479))</f>
        <v>NER Niger </v>
      </c>
      <c r="E479" s="555" t="s">
        <v>541</v>
      </c>
      <c r="F479" s="556" t="s">
        <v>2791</v>
      </c>
      <c r="G479" s="555" t="s">
        <v>2791</v>
      </c>
      <c r="H479" s="555" t="s">
        <v>2792</v>
      </c>
      <c r="I479" s="555" t="s">
        <v>541</v>
      </c>
      <c r="J479" s="556" t="str">
        <f aca="false">"[pt]"&amp;E479</f>
        <v>[pt]Niger</v>
      </c>
      <c r="K479" s="556" t="str">
        <f aca="false">"[gr]"&amp;E479</f>
        <v>[gr]Niger</v>
      </c>
      <c r="L479" s="627" t="s">
        <v>542</v>
      </c>
      <c r="M479" s="557" t="str">
        <f aca="false">IF(L479=A479,"","nix")</f>
        <v/>
      </c>
    </row>
    <row r="480" customFormat="false" ht="15.75" hidden="false" customHeight="true" outlineLevel="0" collapsed="false">
      <c r="A480" s="625" t="s">
        <v>544</v>
      </c>
      <c r="B480" s="576" t="s">
        <v>2793</v>
      </c>
      <c r="C480" s="625" t="s">
        <v>2794</v>
      </c>
      <c r="D480" s="559" t="str">
        <f aca="false">A480&amp;" "&amp;HLOOKUP($C$1,$E$1:$X$4910,ROW(D480))</f>
        <v>NGA Nigeria </v>
      </c>
      <c r="E480" s="555" t="s">
        <v>543</v>
      </c>
      <c r="F480" s="556" t="s">
        <v>2795</v>
      </c>
      <c r="G480" s="555" t="s">
        <v>2795</v>
      </c>
      <c r="H480" s="555" t="s">
        <v>543</v>
      </c>
      <c r="I480" s="555" t="s">
        <v>2796</v>
      </c>
      <c r="J480" s="556" t="str">
        <f aca="false">"[pt]"&amp;E480</f>
        <v>[pt]Nigeria</v>
      </c>
      <c r="K480" s="556" t="str">
        <f aca="false">"[gr]"&amp;E480</f>
        <v>[gr]Nigeria</v>
      </c>
      <c r="L480" s="627" t="s">
        <v>544</v>
      </c>
      <c r="M480" s="557" t="str">
        <f aca="false">IF(L480=A480,"","nix")</f>
        <v/>
      </c>
    </row>
    <row r="481" customFormat="false" ht="15.75" hidden="false" customHeight="true" outlineLevel="0" collapsed="false">
      <c r="A481" s="625" t="s">
        <v>546</v>
      </c>
      <c r="B481" s="576" t="s">
        <v>2797</v>
      </c>
      <c r="C481" s="625" t="s">
        <v>2798</v>
      </c>
      <c r="D481" s="559" t="str">
        <f aca="false">A481&amp;" "&amp;HLOOKUP($C$1,$E$1:$X$4910,ROW(D481))</f>
        <v>NIC Nicaragua </v>
      </c>
      <c r="E481" s="555" t="s">
        <v>545</v>
      </c>
      <c r="F481" s="556" t="s">
        <v>2799</v>
      </c>
      <c r="G481" s="555" t="s">
        <v>2799</v>
      </c>
      <c r="H481" s="555" t="s">
        <v>545</v>
      </c>
      <c r="I481" s="555" t="s">
        <v>545</v>
      </c>
      <c r="J481" s="556" t="str">
        <f aca="false">"[pt]"&amp;E481</f>
        <v>[pt]Nicaragua</v>
      </c>
      <c r="K481" s="556" t="str">
        <f aca="false">"[gr]"&amp;E481</f>
        <v>[gr]Nicaragua</v>
      </c>
      <c r="L481" s="627" t="s">
        <v>546</v>
      </c>
      <c r="M481" s="557" t="str">
        <f aca="false">IF(L481=A481,"","nix")</f>
        <v/>
      </c>
    </row>
    <row r="482" customFormat="false" ht="15.75" hidden="false" customHeight="true" outlineLevel="0" collapsed="false">
      <c r="A482" s="625" t="s">
        <v>548</v>
      </c>
      <c r="B482" s="576" t="s">
        <v>2800</v>
      </c>
      <c r="C482" s="625" t="s">
        <v>2801</v>
      </c>
      <c r="D482" s="559" t="str">
        <f aca="false">A482&amp;" "&amp;HLOOKUP($C$1,$E$1:$X$4910,ROW(D482))</f>
        <v>NLD Netherlands </v>
      </c>
      <c r="E482" s="555" t="s">
        <v>2802</v>
      </c>
      <c r="F482" s="556" t="s">
        <v>2803</v>
      </c>
      <c r="G482" s="555" t="s">
        <v>2804</v>
      </c>
      <c r="H482" s="555" t="s">
        <v>2805</v>
      </c>
      <c r="I482" s="555" t="s">
        <v>2806</v>
      </c>
      <c r="J482" s="556" t="str">
        <f aca="false">"[pt]"&amp;E482</f>
        <v>[pt]Niederlande</v>
      </c>
      <c r="K482" s="556" t="str">
        <f aca="false">"[gr]"&amp;E482</f>
        <v>[gr]Niederlande</v>
      </c>
      <c r="L482" s="627" t="s">
        <v>548</v>
      </c>
      <c r="M482" s="557" t="str">
        <f aca="false">IF(L482=A482,"","nix")</f>
        <v/>
      </c>
    </row>
    <row r="483" customFormat="false" ht="15.75" hidden="false" customHeight="true" outlineLevel="0" collapsed="false">
      <c r="A483" s="625" t="s">
        <v>550</v>
      </c>
      <c r="B483" s="576" t="s">
        <v>2807</v>
      </c>
      <c r="C483" s="625" t="s">
        <v>2808</v>
      </c>
      <c r="D483" s="559" t="str">
        <f aca="false">A483&amp;" "&amp;HLOOKUP($C$1,$E$1:$X$4910,ROW(D483))</f>
        <v>NOR Norway </v>
      </c>
      <c r="E483" s="555" t="s">
        <v>2809</v>
      </c>
      <c r="F483" s="556" t="s">
        <v>2810</v>
      </c>
      <c r="G483" s="555" t="s">
        <v>2811</v>
      </c>
      <c r="H483" s="555" t="s">
        <v>2812</v>
      </c>
      <c r="I483" s="555" t="s">
        <v>2813</v>
      </c>
      <c r="J483" s="556" t="str">
        <f aca="false">"[pt]"&amp;E483</f>
        <v>[pt]Norwegen</v>
      </c>
      <c r="K483" s="556" t="str">
        <f aca="false">"[gr]"&amp;E483</f>
        <v>[gr]Norwegen</v>
      </c>
      <c r="L483" s="627" t="s">
        <v>550</v>
      </c>
      <c r="M483" s="557" t="str">
        <f aca="false">IF(L483=A483,"","nix")</f>
        <v/>
      </c>
    </row>
    <row r="484" customFormat="false" ht="15.75" hidden="false" customHeight="true" outlineLevel="0" collapsed="false">
      <c r="A484" s="625" t="s">
        <v>552</v>
      </c>
      <c r="B484" s="576" t="s">
        <v>2814</v>
      </c>
      <c r="C484" s="625" t="s">
        <v>2815</v>
      </c>
      <c r="D484" s="559" t="str">
        <f aca="false">A484&amp;" "&amp;HLOOKUP($C$1,$E$1:$X$4910,ROW(D484))</f>
        <v>NPL Nepal </v>
      </c>
      <c r="E484" s="555" t="s">
        <v>551</v>
      </c>
      <c r="F484" s="556" t="s">
        <v>2816</v>
      </c>
      <c r="G484" s="555" t="s">
        <v>2816</v>
      </c>
      <c r="H484" s="555" t="s">
        <v>551</v>
      </c>
      <c r="I484" s="555" t="s">
        <v>2817</v>
      </c>
      <c r="J484" s="556" t="str">
        <f aca="false">"[pt]"&amp;E484</f>
        <v>[pt]Nepal</v>
      </c>
      <c r="K484" s="556" t="str">
        <f aca="false">"[gr]"&amp;E484</f>
        <v>[gr]Nepal</v>
      </c>
      <c r="L484" s="627" t="s">
        <v>552</v>
      </c>
      <c r="M484" s="557" t="str">
        <f aca="false">IF(L484=A484,"","nix")</f>
        <v/>
      </c>
    </row>
    <row r="485" customFormat="false" ht="15.75" hidden="false" customHeight="true" outlineLevel="0" collapsed="false">
      <c r="A485" s="625" t="s">
        <v>554</v>
      </c>
      <c r="B485" s="576" t="s">
        <v>2818</v>
      </c>
      <c r="C485" s="625" t="s">
        <v>2819</v>
      </c>
      <c r="D485" s="559" t="str">
        <f aca="false">A485&amp;" "&amp;HLOOKUP($C$1,$E$1:$X$4910,ROW(D485))</f>
        <v>NRU Nauru </v>
      </c>
      <c r="E485" s="555" t="s">
        <v>553</v>
      </c>
      <c r="F485" s="556" t="s">
        <v>2820</v>
      </c>
      <c r="G485" s="555" t="s">
        <v>2820</v>
      </c>
      <c r="H485" s="555" t="s">
        <v>553</v>
      </c>
      <c r="I485" s="555" t="s">
        <v>553</v>
      </c>
      <c r="J485" s="556" t="str">
        <f aca="false">"[pt]"&amp;E485</f>
        <v>[pt]Nauru</v>
      </c>
      <c r="K485" s="556" t="str">
        <f aca="false">"[gr]"&amp;E485</f>
        <v>[gr]Nauru</v>
      </c>
      <c r="L485" s="627" t="s">
        <v>554</v>
      </c>
      <c r="M485" s="557" t="str">
        <f aca="false">IF(L485=A485,"","nix")</f>
        <v/>
      </c>
    </row>
    <row r="486" customFormat="false" ht="15.75" hidden="false" customHeight="true" outlineLevel="0" collapsed="false">
      <c r="A486" s="625" t="s">
        <v>556</v>
      </c>
      <c r="B486" s="576" t="s">
        <v>2821</v>
      </c>
      <c r="C486" s="625" t="s">
        <v>2822</v>
      </c>
      <c r="D486" s="559" t="str">
        <f aca="false">A486&amp;" "&amp;HLOOKUP($C$1,$E$1:$X$4910,ROW(D486))</f>
        <v>NZL New Zealand </v>
      </c>
      <c r="E486" s="555" t="s">
        <v>2823</v>
      </c>
      <c r="F486" s="556" t="s">
        <v>2824</v>
      </c>
      <c r="G486" s="555" t="s">
        <v>2825</v>
      </c>
      <c r="H486" s="555" t="s">
        <v>2826</v>
      </c>
      <c r="I486" s="555" t="s">
        <v>2827</v>
      </c>
      <c r="J486" s="556" t="str">
        <f aca="false">"[pt]"&amp;E486</f>
        <v>[pt]Neuseeland</v>
      </c>
      <c r="K486" s="556" t="str">
        <f aca="false">"[gr]"&amp;E486</f>
        <v>[gr]Neuseeland</v>
      </c>
      <c r="L486" s="627" t="s">
        <v>556</v>
      </c>
      <c r="M486" s="557" t="str">
        <f aca="false">IF(L486=A486,"","nix")</f>
        <v/>
      </c>
    </row>
    <row r="487" customFormat="false" ht="15.75" hidden="false" customHeight="true" outlineLevel="0" collapsed="false">
      <c r="A487" s="625" t="s">
        <v>558</v>
      </c>
      <c r="B487" s="576" t="s">
        <v>2828</v>
      </c>
      <c r="C487" s="625" t="s">
        <v>2829</v>
      </c>
      <c r="D487" s="559" t="str">
        <f aca="false">A487&amp;" "&amp;HLOOKUP($C$1,$E$1:$X$4910,ROW(D487))</f>
        <v>OMN Oman </v>
      </c>
      <c r="E487" s="555" t="s">
        <v>557</v>
      </c>
      <c r="F487" s="556" t="s">
        <v>2830</v>
      </c>
      <c r="G487" s="555" t="s">
        <v>2830</v>
      </c>
      <c r="H487" s="555" t="s">
        <v>2831</v>
      </c>
      <c r="I487" s="555" t="s">
        <v>557</v>
      </c>
      <c r="J487" s="556" t="str">
        <f aca="false">"[pt]"&amp;E487</f>
        <v>[pt]Oman</v>
      </c>
      <c r="K487" s="556" t="str">
        <f aca="false">"[gr]"&amp;E487</f>
        <v>[gr]Oman</v>
      </c>
      <c r="L487" s="627" t="s">
        <v>558</v>
      </c>
      <c r="M487" s="557" t="str">
        <f aca="false">IF(L487=A487,"","nix")</f>
        <v/>
      </c>
    </row>
    <row r="488" customFormat="false" ht="15.75" hidden="false" customHeight="true" outlineLevel="0" collapsed="false">
      <c r="A488" s="625" t="s">
        <v>560</v>
      </c>
      <c r="B488" s="576" t="s">
        <v>2832</v>
      </c>
      <c r="C488" s="625" t="s">
        <v>2833</v>
      </c>
      <c r="D488" s="559" t="str">
        <f aca="false">A488&amp;" "&amp;HLOOKUP($C$1,$E$1:$X$4910,ROW(D488))</f>
        <v>PAK Pakistan </v>
      </c>
      <c r="E488" s="555" t="s">
        <v>559</v>
      </c>
      <c r="F488" s="556" t="s">
        <v>2834</v>
      </c>
      <c r="G488" s="555" t="s">
        <v>2834</v>
      </c>
      <c r="H488" s="555" t="s">
        <v>2835</v>
      </c>
      <c r="I488" s="555" t="s">
        <v>559</v>
      </c>
      <c r="J488" s="556" t="str">
        <f aca="false">"[pt]"&amp;E488</f>
        <v>[pt]Pakistan</v>
      </c>
      <c r="K488" s="556" t="str">
        <f aca="false">"[gr]"&amp;E488</f>
        <v>[gr]Pakistan</v>
      </c>
      <c r="L488" s="627" t="s">
        <v>560</v>
      </c>
      <c r="M488" s="557" t="str">
        <f aca="false">IF(L488=A488,"","nix")</f>
        <v/>
      </c>
    </row>
    <row r="489" customFormat="false" ht="15.75" hidden="false" customHeight="true" outlineLevel="0" collapsed="false">
      <c r="A489" s="625" t="s">
        <v>562</v>
      </c>
      <c r="B489" s="576" t="s">
        <v>2836</v>
      </c>
      <c r="C489" s="625" t="s">
        <v>2837</v>
      </c>
      <c r="D489" s="559" t="str">
        <f aca="false">A489&amp;" "&amp;HLOOKUP($C$1,$E$1:$X$4910,ROW(D489))</f>
        <v>PAN Panama </v>
      </c>
      <c r="E489" s="555" t="s">
        <v>561</v>
      </c>
      <c r="F489" s="556" t="s">
        <v>2838</v>
      </c>
      <c r="G489" s="555" t="s">
        <v>2839</v>
      </c>
      <c r="H489" s="555" t="s">
        <v>2840</v>
      </c>
      <c r="I489" s="555" t="s">
        <v>561</v>
      </c>
      <c r="J489" s="556" t="str">
        <f aca="false">"[pt]"&amp;E489</f>
        <v>[pt]Panama</v>
      </c>
      <c r="K489" s="556" t="str">
        <f aca="false">"[gr]"&amp;E489</f>
        <v>[gr]Panama</v>
      </c>
      <c r="L489" s="627" t="s">
        <v>562</v>
      </c>
      <c r="M489" s="557" t="str">
        <f aca="false">IF(L489=A489,"","nix")</f>
        <v/>
      </c>
    </row>
    <row r="490" customFormat="false" ht="15.75" hidden="false" customHeight="true" outlineLevel="0" collapsed="false">
      <c r="A490" s="625" t="s">
        <v>564</v>
      </c>
      <c r="B490" s="576" t="s">
        <v>2841</v>
      </c>
      <c r="C490" s="625" t="s">
        <v>2842</v>
      </c>
      <c r="D490" s="559" t="str">
        <f aca="false">A490&amp;" "&amp;HLOOKUP($C$1,$E$1:$X$4910,ROW(D490))</f>
        <v>PER Peru </v>
      </c>
      <c r="E490" s="555" t="s">
        <v>563</v>
      </c>
      <c r="F490" s="556" t="s">
        <v>2843</v>
      </c>
      <c r="G490" s="555" t="s">
        <v>2844</v>
      </c>
      <c r="H490" s="555" t="s">
        <v>2845</v>
      </c>
      <c r="I490" s="555" t="s">
        <v>2846</v>
      </c>
      <c r="J490" s="556" t="str">
        <f aca="false">"[pt]"&amp;E490</f>
        <v>[pt]Peru</v>
      </c>
      <c r="K490" s="556" t="str">
        <f aca="false">"[gr]"&amp;E490</f>
        <v>[gr]Peru</v>
      </c>
      <c r="L490" s="627" t="s">
        <v>564</v>
      </c>
      <c r="M490" s="557" t="str">
        <f aca="false">IF(L490=A490,"","nix")</f>
        <v/>
      </c>
    </row>
    <row r="491" customFormat="false" ht="15.75" hidden="false" customHeight="true" outlineLevel="0" collapsed="false">
      <c r="A491" s="625" t="s">
        <v>566</v>
      </c>
      <c r="B491" s="576" t="s">
        <v>2847</v>
      </c>
      <c r="C491" s="625" t="s">
        <v>2848</v>
      </c>
      <c r="D491" s="559" t="str">
        <f aca="false">A491&amp;" "&amp;HLOOKUP($C$1,$E$1:$X$4910,ROW(D491))</f>
        <v>PHL Philippines </v>
      </c>
      <c r="E491" s="555" t="s">
        <v>2849</v>
      </c>
      <c r="F491" s="556" t="s">
        <v>2850</v>
      </c>
      <c r="G491" s="555" t="s">
        <v>2851</v>
      </c>
      <c r="H491" s="555" t="s">
        <v>2852</v>
      </c>
      <c r="I491" s="555" t="s">
        <v>565</v>
      </c>
      <c r="J491" s="556" t="str">
        <f aca="false">"[pt]"&amp;E491</f>
        <v>[pt]Philippinen</v>
      </c>
      <c r="K491" s="556" t="str">
        <f aca="false">"[gr]"&amp;E491</f>
        <v>[gr]Philippinen</v>
      </c>
      <c r="L491" s="627" t="s">
        <v>566</v>
      </c>
      <c r="M491" s="557" t="str">
        <f aca="false">IF(L491=A491,"","nix")</f>
        <v/>
      </c>
    </row>
    <row r="492" customFormat="false" ht="15.75" hidden="false" customHeight="true" outlineLevel="0" collapsed="false">
      <c r="A492" s="625" t="s">
        <v>568</v>
      </c>
      <c r="B492" s="576" t="s">
        <v>2853</v>
      </c>
      <c r="C492" s="625" t="s">
        <v>2854</v>
      </c>
      <c r="D492" s="559" t="str">
        <f aca="false">A492&amp;" "&amp;HLOOKUP($C$1,$E$1:$X$4910,ROW(D492))</f>
        <v>PLW Palau </v>
      </c>
      <c r="E492" s="555" t="s">
        <v>567</v>
      </c>
      <c r="F492" s="556" t="s">
        <v>2855</v>
      </c>
      <c r="G492" s="555" t="s">
        <v>2855</v>
      </c>
      <c r="H492" s="555" t="s">
        <v>2856</v>
      </c>
      <c r="I492" s="555" t="s">
        <v>2856</v>
      </c>
      <c r="J492" s="556" t="str">
        <f aca="false">"[pt]"&amp;E492</f>
        <v>[pt]Palau</v>
      </c>
      <c r="K492" s="556" t="str">
        <f aca="false">"[gr]"&amp;E492</f>
        <v>[gr]Palau</v>
      </c>
      <c r="L492" s="627" t="s">
        <v>568</v>
      </c>
      <c r="M492" s="557" t="str">
        <f aca="false">IF(L492=A492,"","nix")</f>
        <v/>
      </c>
    </row>
    <row r="493" customFormat="false" ht="15.75" hidden="false" customHeight="true" outlineLevel="0" collapsed="false">
      <c r="A493" s="625" t="s">
        <v>570</v>
      </c>
      <c r="B493" s="576" t="s">
        <v>2857</v>
      </c>
      <c r="C493" s="625" t="s">
        <v>2858</v>
      </c>
      <c r="D493" s="559" t="str">
        <f aca="false">A493&amp;" "&amp;HLOOKUP($C$1,$E$1:$X$4910,ROW(D493))</f>
        <v>PNG Papua New Guinea </v>
      </c>
      <c r="E493" s="555" t="s">
        <v>2859</v>
      </c>
      <c r="F493" s="556" t="s">
        <v>2860</v>
      </c>
      <c r="G493" s="555" t="s">
        <v>2861</v>
      </c>
      <c r="H493" s="555" t="s">
        <v>2862</v>
      </c>
      <c r="I493" s="555" t="s">
        <v>2863</v>
      </c>
      <c r="J493" s="556" t="str">
        <f aca="false">"[pt]"&amp;E493</f>
        <v>[pt]Papua-Neuguinea</v>
      </c>
      <c r="K493" s="556" t="str">
        <f aca="false">"[gr]"&amp;E493</f>
        <v>[gr]Papua-Neuguinea</v>
      </c>
      <c r="L493" s="627" t="s">
        <v>570</v>
      </c>
      <c r="M493" s="557" t="str">
        <f aca="false">IF(L493=A493,"","nix")</f>
        <v/>
      </c>
    </row>
    <row r="494" customFormat="false" ht="15.75" hidden="false" customHeight="true" outlineLevel="0" collapsed="false">
      <c r="A494" s="625" t="s">
        <v>572</v>
      </c>
      <c r="B494" s="576" t="s">
        <v>2864</v>
      </c>
      <c r="C494" s="625" t="s">
        <v>2865</v>
      </c>
      <c r="D494" s="559" t="str">
        <f aca="false">A494&amp;" "&amp;HLOOKUP($C$1,$E$1:$X$4910,ROW(D494))</f>
        <v>POL Poland </v>
      </c>
      <c r="E494" s="555" t="s">
        <v>2866</v>
      </c>
      <c r="F494" s="556" t="s">
        <v>2867</v>
      </c>
      <c r="G494" s="555" t="s">
        <v>2868</v>
      </c>
      <c r="H494" s="555" t="s">
        <v>2869</v>
      </c>
      <c r="I494" s="555" t="s">
        <v>2870</v>
      </c>
      <c r="J494" s="556" t="str">
        <f aca="false">"[pt]"&amp;E494</f>
        <v>[pt]Polen</v>
      </c>
      <c r="K494" s="556" t="str">
        <f aca="false">"[gr]"&amp;E494</f>
        <v>[gr]Polen</v>
      </c>
      <c r="L494" s="627" t="s">
        <v>572</v>
      </c>
      <c r="M494" s="557" t="str">
        <f aca="false">IF(L494=A494,"","nix")</f>
        <v/>
      </c>
    </row>
    <row r="495" customFormat="false" ht="15.75" hidden="false" customHeight="true" outlineLevel="0" collapsed="false">
      <c r="A495" s="625" t="s">
        <v>574</v>
      </c>
      <c r="B495" s="576" t="s">
        <v>2871</v>
      </c>
      <c r="C495" s="625" t="s">
        <v>2872</v>
      </c>
      <c r="D495" s="559" t="str">
        <f aca="false">A495&amp;" "&amp;HLOOKUP($C$1,$E$1:$X$4910,ROW(D495))</f>
        <v>PRI Puerto Rico </v>
      </c>
      <c r="E495" s="555" t="s">
        <v>573</v>
      </c>
      <c r="F495" s="556" t="s">
        <v>2873</v>
      </c>
      <c r="G495" s="555" t="s">
        <v>2874</v>
      </c>
      <c r="H495" s="555" t="s">
        <v>573</v>
      </c>
      <c r="I495" s="555" t="s">
        <v>573</v>
      </c>
      <c r="J495" s="556" t="str">
        <f aca="false">"[pt]"&amp;E495</f>
        <v>[pt]Puerto Rico</v>
      </c>
      <c r="K495" s="556" t="str">
        <f aca="false">"[gr]"&amp;E495</f>
        <v>[gr]Puerto Rico</v>
      </c>
      <c r="L495" s="627" t="s">
        <v>574</v>
      </c>
      <c r="M495" s="557" t="str">
        <f aca="false">IF(L495=A495,"","nix")</f>
        <v/>
      </c>
    </row>
    <row r="496" customFormat="false" ht="15.75" hidden="false" customHeight="true" outlineLevel="0" collapsed="false">
      <c r="A496" s="625" t="s">
        <v>576</v>
      </c>
      <c r="B496" s="576" t="s">
        <v>2875</v>
      </c>
      <c r="C496" s="625" t="s">
        <v>2876</v>
      </c>
      <c r="D496" s="559" t="str">
        <f aca="false">A496&amp;" "&amp;HLOOKUP($C$1,$E$1:$X$4910,ROW(D496))</f>
        <v>PRK Korea, Democratic People's Republic of </v>
      </c>
      <c r="E496" s="555" t="s">
        <v>2877</v>
      </c>
      <c r="F496" s="556" t="s">
        <v>2878</v>
      </c>
      <c r="G496" s="555" t="s">
        <v>2879</v>
      </c>
      <c r="H496" s="555" t="s">
        <v>2880</v>
      </c>
      <c r="I496" s="555" t="s">
        <v>2881</v>
      </c>
      <c r="J496" s="556" t="str">
        <f aca="false">"[pt]"&amp;E496</f>
        <v>[pt]Korea, Demokratische Volksrepublik (Nordkorea)</v>
      </c>
      <c r="K496" s="556" t="str">
        <f aca="false">"[gr]"&amp;E496</f>
        <v>[gr]Korea, Demokratische Volksrepublik (Nordkorea)</v>
      </c>
      <c r="L496" s="627" t="s">
        <v>576</v>
      </c>
      <c r="M496" s="557" t="str">
        <f aca="false">IF(L496=A496,"","nix")</f>
        <v/>
      </c>
    </row>
    <row r="497" customFormat="false" ht="15.75" hidden="false" customHeight="true" outlineLevel="0" collapsed="false">
      <c r="A497" s="625" t="s">
        <v>578</v>
      </c>
      <c r="B497" s="576" t="s">
        <v>2882</v>
      </c>
      <c r="C497" s="625" t="s">
        <v>2883</v>
      </c>
      <c r="D497" s="559" t="str">
        <f aca="false">A497&amp;" "&amp;HLOOKUP($C$1,$E$1:$X$4910,ROW(D497))</f>
        <v>PRT Portugal </v>
      </c>
      <c r="E497" s="555" t="s">
        <v>577</v>
      </c>
      <c r="F497" s="556" t="s">
        <v>2884</v>
      </c>
      <c r="G497" s="555" t="s">
        <v>2885</v>
      </c>
      <c r="H497" s="555" t="s">
        <v>577</v>
      </c>
      <c r="I497" s="555" t="s">
        <v>577</v>
      </c>
      <c r="J497" s="556" t="str">
        <f aca="false">"[pt]"&amp;E497</f>
        <v>[pt]Portugal</v>
      </c>
      <c r="K497" s="556" t="str">
        <f aca="false">"[gr]"&amp;E497</f>
        <v>[gr]Portugal</v>
      </c>
      <c r="L497" s="627" t="s">
        <v>578</v>
      </c>
      <c r="M497" s="557" t="str">
        <f aca="false">IF(L497=A497,"","nix")</f>
        <v/>
      </c>
    </row>
    <row r="498" customFormat="false" ht="15.75" hidden="false" customHeight="true" outlineLevel="0" collapsed="false">
      <c r="A498" s="625" t="s">
        <v>580</v>
      </c>
      <c r="B498" s="576" t="s">
        <v>2886</v>
      </c>
      <c r="C498" s="625" t="s">
        <v>2887</v>
      </c>
      <c r="D498" s="559" t="str">
        <f aca="false">A498&amp;" "&amp;HLOOKUP($C$1,$E$1:$X$4910,ROW(D498))</f>
        <v>PRY Paraguay </v>
      </c>
      <c r="E498" s="555" t="s">
        <v>579</v>
      </c>
      <c r="F498" s="556" t="s">
        <v>2888</v>
      </c>
      <c r="G498" s="555" t="s">
        <v>2888</v>
      </c>
      <c r="H498" s="555" t="s">
        <v>579</v>
      </c>
      <c r="I498" s="555" t="s">
        <v>579</v>
      </c>
      <c r="J498" s="556" t="str">
        <f aca="false">"[pt]"&amp;E498</f>
        <v>[pt]Paraguay</v>
      </c>
      <c r="K498" s="556" t="str">
        <f aca="false">"[gr]"&amp;E498</f>
        <v>[gr]Paraguay</v>
      </c>
      <c r="L498" s="627" t="s">
        <v>580</v>
      </c>
      <c r="M498" s="557" t="str">
        <f aca="false">IF(L498=A498,"","nix")</f>
        <v/>
      </c>
    </row>
    <row r="499" customFormat="false" ht="15.75" hidden="false" customHeight="true" outlineLevel="0" collapsed="false">
      <c r="A499" s="625" t="s">
        <v>582</v>
      </c>
      <c r="B499" s="576" t="s">
        <v>2889</v>
      </c>
      <c r="C499" s="625" t="s">
        <v>2890</v>
      </c>
      <c r="D499" s="559" t="str">
        <f aca="false">A499&amp;" "&amp;HLOOKUP($C$1,$E$1:$X$4910,ROW(D499))</f>
        <v>PSE Palestinian Territory, Occupied </v>
      </c>
      <c r="E499" s="555" t="s">
        <v>2891</v>
      </c>
      <c r="F499" s="556" t="s">
        <v>2892</v>
      </c>
      <c r="G499" s="555" t="s">
        <v>2893</v>
      </c>
      <c r="H499" s="555" t="s">
        <v>2894</v>
      </c>
      <c r="I499" s="555" t="s">
        <v>2895</v>
      </c>
      <c r="J499" s="556" t="str">
        <f aca="false">"[pt]"&amp;E499</f>
        <v>[pt]Palästinensische Autonomiegebiete</v>
      </c>
      <c r="K499" s="556" t="str">
        <f aca="false">"[gr]"&amp;E499</f>
        <v>[gr]Palästinensische Autonomiegebiete</v>
      </c>
      <c r="L499" s="627" t="s">
        <v>582</v>
      </c>
      <c r="M499" s="557" t="str">
        <f aca="false">IF(L499=A499,"","nix")</f>
        <v/>
      </c>
    </row>
    <row r="500" customFormat="false" ht="15.75" hidden="false" customHeight="true" outlineLevel="0" collapsed="false">
      <c r="A500" s="625" t="s">
        <v>584</v>
      </c>
      <c r="B500" s="576" t="s">
        <v>2896</v>
      </c>
      <c r="C500" s="625" t="s">
        <v>2897</v>
      </c>
      <c r="D500" s="559" t="str">
        <f aca="false">A500&amp;" "&amp;HLOOKUP($C$1,$E$1:$X$4910,ROW(D500))</f>
        <v>PYF French Polynesia </v>
      </c>
      <c r="E500" s="555" t="s">
        <v>2898</v>
      </c>
      <c r="F500" s="556" t="s">
        <v>2899</v>
      </c>
      <c r="G500" s="555" t="s">
        <v>2900</v>
      </c>
      <c r="H500" s="555" t="s">
        <v>2901</v>
      </c>
      <c r="I500" s="555" t="s">
        <v>2902</v>
      </c>
      <c r="J500" s="556" t="str">
        <f aca="false">"[pt]"&amp;E500</f>
        <v>[pt]Französisch-Polynesien</v>
      </c>
      <c r="K500" s="556" t="str">
        <f aca="false">"[gr]"&amp;E500</f>
        <v>[gr]Französisch-Polynesien</v>
      </c>
      <c r="L500" s="627" t="s">
        <v>584</v>
      </c>
      <c r="M500" s="557" t="str">
        <f aca="false">IF(L500=A500,"","nix")</f>
        <v/>
      </c>
    </row>
    <row r="501" customFormat="false" ht="15.75" hidden="false" customHeight="true" outlineLevel="0" collapsed="false">
      <c r="A501" s="625" t="s">
        <v>586</v>
      </c>
      <c r="B501" s="576" t="s">
        <v>2903</v>
      </c>
      <c r="C501" s="625" t="s">
        <v>2904</v>
      </c>
      <c r="D501" s="559" t="str">
        <f aca="false">A501&amp;" "&amp;HLOOKUP($C$1,$E$1:$X$4910,ROW(D501))</f>
        <v>QAT Qatar </v>
      </c>
      <c r="E501" s="555" t="s">
        <v>2905</v>
      </c>
      <c r="F501" s="556" t="s">
        <v>2906</v>
      </c>
      <c r="G501" s="555" t="s">
        <v>2906</v>
      </c>
      <c r="H501" s="555" t="s">
        <v>2907</v>
      </c>
      <c r="I501" s="555" t="s">
        <v>585</v>
      </c>
      <c r="J501" s="556" t="str">
        <f aca="false">"[pt]"&amp;E501</f>
        <v>[pt]Katar</v>
      </c>
      <c r="K501" s="556" t="str">
        <f aca="false">"[gr]"&amp;E501</f>
        <v>[gr]Katar</v>
      </c>
      <c r="L501" s="627" t="s">
        <v>586</v>
      </c>
      <c r="M501" s="557" t="str">
        <f aca="false">IF(L501=A501,"","nix")</f>
        <v/>
      </c>
    </row>
    <row r="502" customFormat="false" ht="15.75" hidden="false" customHeight="true" outlineLevel="0" collapsed="false">
      <c r="A502" s="625" t="s">
        <v>588</v>
      </c>
      <c r="B502" s="576" t="s">
        <v>2908</v>
      </c>
      <c r="C502" s="625" t="s">
        <v>2909</v>
      </c>
      <c r="D502" s="559" t="str">
        <f aca="false">A502&amp;" "&amp;HLOOKUP($C$1,$E$1:$X$4910,ROW(D502))</f>
        <v>ROU Romania </v>
      </c>
      <c r="E502" s="555" t="s">
        <v>2910</v>
      </c>
      <c r="F502" s="556" t="s">
        <v>2911</v>
      </c>
      <c r="G502" s="555" t="s">
        <v>2911</v>
      </c>
      <c r="H502" s="555" t="s">
        <v>2912</v>
      </c>
      <c r="I502" s="555" t="s">
        <v>2913</v>
      </c>
      <c r="J502" s="556" t="str">
        <f aca="false">"[pt]"&amp;E502</f>
        <v>[pt]Rumänien</v>
      </c>
      <c r="K502" s="556" t="str">
        <f aca="false">"[gr]"&amp;E502</f>
        <v>[gr]Rumänien</v>
      </c>
      <c r="L502" s="627" t="s">
        <v>588</v>
      </c>
      <c r="M502" s="557" t="str">
        <f aca="false">IF(L502=A502,"","nix")</f>
        <v/>
      </c>
    </row>
    <row r="503" customFormat="false" ht="15.75" hidden="false" customHeight="true" outlineLevel="0" collapsed="false">
      <c r="A503" s="625" t="s">
        <v>590</v>
      </c>
      <c r="B503" s="576" t="s">
        <v>2914</v>
      </c>
      <c r="C503" s="625" t="s">
        <v>2915</v>
      </c>
      <c r="D503" s="559" t="str">
        <f aca="false">A503&amp;" "&amp;HLOOKUP($C$1,$E$1:$X$4910,ROW(D503))</f>
        <v>RUS Russian Federation </v>
      </c>
      <c r="E503" s="555" t="s">
        <v>2916</v>
      </c>
      <c r="F503" s="556" t="s">
        <v>2917</v>
      </c>
      <c r="G503" s="555" t="s">
        <v>2918</v>
      </c>
      <c r="H503" s="555" t="s">
        <v>2919</v>
      </c>
      <c r="I503" s="555" t="s">
        <v>2920</v>
      </c>
      <c r="J503" s="556" t="str">
        <f aca="false">"[pt]"&amp;E503</f>
        <v>[pt]Russische Föderation</v>
      </c>
      <c r="K503" s="556" t="str">
        <f aca="false">"[gr]"&amp;E503</f>
        <v>[gr]Russische Föderation</v>
      </c>
      <c r="L503" s="627" t="s">
        <v>590</v>
      </c>
      <c r="M503" s="557" t="str">
        <f aca="false">IF(L503=A503,"","nix")</f>
        <v/>
      </c>
    </row>
    <row r="504" customFormat="false" ht="15.75" hidden="false" customHeight="true" outlineLevel="0" collapsed="false">
      <c r="A504" s="625" t="s">
        <v>592</v>
      </c>
      <c r="B504" s="576" t="s">
        <v>2921</v>
      </c>
      <c r="C504" s="625" t="s">
        <v>2922</v>
      </c>
      <c r="D504" s="559" t="str">
        <f aca="false">A504&amp;" "&amp;HLOOKUP($C$1,$E$1:$X$4910,ROW(D504))</f>
        <v>RWA Rwanda </v>
      </c>
      <c r="E504" s="555" t="s">
        <v>2923</v>
      </c>
      <c r="F504" s="556" t="s">
        <v>2924</v>
      </c>
      <c r="G504" s="555" t="s">
        <v>2925</v>
      </c>
      <c r="H504" s="555" t="s">
        <v>2923</v>
      </c>
      <c r="I504" s="555" t="s">
        <v>591</v>
      </c>
      <c r="J504" s="556" t="str">
        <f aca="false">"[pt]"&amp;E504</f>
        <v>[pt]Ruanda</v>
      </c>
      <c r="K504" s="556" t="str">
        <f aca="false">"[gr]"&amp;E504</f>
        <v>[gr]Ruanda</v>
      </c>
      <c r="L504" s="627" t="s">
        <v>592</v>
      </c>
      <c r="M504" s="557" t="str">
        <f aca="false">IF(L504=A504,"","nix")</f>
        <v/>
      </c>
    </row>
    <row r="505" customFormat="false" ht="15.75" hidden="false" customHeight="true" outlineLevel="0" collapsed="false">
      <c r="A505" s="625" t="s">
        <v>594</v>
      </c>
      <c r="B505" s="576" t="s">
        <v>2926</v>
      </c>
      <c r="C505" s="625" t="s">
        <v>2927</v>
      </c>
      <c r="D505" s="559" t="str">
        <f aca="false">A505&amp;" "&amp;HLOOKUP($C$1,$E$1:$X$4910,ROW(D505))</f>
        <v>SAU Saudi Arabia </v>
      </c>
      <c r="E505" s="555" t="s">
        <v>2928</v>
      </c>
      <c r="F505" s="556" t="s">
        <v>2929</v>
      </c>
      <c r="G505" s="555" t="s">
        <v>2930</v>
      </c>
      <c r="H505" s="555" t="s">
        <v>2931</v>
      </c>
      <c r="I505" s="555" t="s">
        <v>2932</v>
      </c>
      <c r="J505" s="556" t="str">
        <f aca="false">"[pt]"&amp;E505</f>
        <v>[pt]Saudi-Arabien</v>
      </c>
      <c r="K505" s="556" t="str">
        <f aca="false">"[gr]"&amp;E505</f>
        <v>[gr]Saudi-Arabien</v>
      </c>
      <c r="L505" s="627" t="s">
        <v>594</v>
      </c>
      <c r="M505" s="557" t="str">
        <f aca="false">IF(L505=A505,"","nix")</f>
        <v/>
      </c>
    </row>
    <row r="506" customFormat="false" ht="15.75" hidden="false" customHeight="true" outlineLevel="0" collapsed="false">
      <c r="A506" s="625" t="s">
        <v>596</v>
      </c>
      <c r="B506" s="576" t="s">
        <v>2933</v>
      </c>
      <c r="C506" s="625" t="s">
        <v>2934</v>
      </c>
      <c r="D506" s="559" t="str">
        <f aca="false">A506&amp;" "&amp;HLOOKUP($C$1,$E$1:$X$4910,ROW(D506))</f>
        <v>SDN Sudan </v>
      </c>
      <c r="E506" s="555" t="s">
        <v>595</v>
      </c>
      <c r="F506" s="556" t="s">
        <v>2935</v>
      </c>
      <c r="G506" s="555" t="s">
        <v>2935</v>
      </c>
      <c r="H506" s="555" t="s">
        <v>2936</v>
      </c>
      <c r="I506" s="555" t="s">
        <v>2937</v>
      </c>
      <c r="J506" s="556" t="str">
        <f aca="false">"[pt]"&amp;E506</f>
        <v>[pt]Sudan</v>
      </c>
      <c r="K506" s="556" t="str">
        <f aca="false">"[gr]"&amp;E506</f>
        <v>[gr]Sudan</v>
      </c>
      <c r="L506" s="627" t="s">
        <v>596</v>
      </c>
      <c r="M506" s="557" t="str">
        <f aca="false">IF(L506=A506,"","nix")</f>
        <v/>
      </c>
    </row>
    <row r="507" customFormat="false" ht="15.75" hidden="false" customHeight="true" outlineLevel="0" collapsed="false">
      <c r="A507" s="625" t="s">
        <v>598</v>
      </c>
      <c r="B507" s="576" t="s">
        <v>2938</v>
      </c>
      <c r="C507" s="625" t="s">
        <v>2939</v>
      </c>
      <c r="D507" s="559" t="str">
        <f aca="false">A507&amp;" "&amp;HLOOKUP($C$1,$E$1:$X$4910,ROW(D507))</f>
        <v>SEN Senegal </v>
      </c>
      <c r="E507" s="555" t="s">
        <v>597</v>
      </c>
      <c r="F507" s="556" t="s">
        <v>2940</v>
      </c>
      <c r="G507" s="555" t="s">
        <v>2940</v>
      </c>
      <c r="H507" s="555" t="s">
        <v>597</v>
      </c>
      <c r="I507" s="555" t="s">
        <v>2941</v>
      </c>
      <c r="J507" s="556" t="str">
        <f aca="false">"[pt]"&amp;E507</f>
        <v>[pt]Senegal</v>
      </c>
      <c r="K507" s="556" t="str">
        <f aca="false">"[gr]"&amp;E507</f>
        <v>[gr]Senegal</v>
      </c>
      <c r="L507" s="627" t="s">
        <v>598</v>
      </c>
      <c r="M507" s="557" t="str">
        <f aca="false">IF(L507=A507,"","nix")</f>
        <v/>
      </c>
    </row>
    <row r="508" customFormat="false" ht="15.75" hidden="false" customHeight="true" outlineLevel="0" collapsed="false">
      <c r="A508" s="625" t="s">
        <v>600</v>
      </c>
      <c r="B508" s="576" t="s">
        <v>2942</v>
      </c>
      <c r="C508" s="625" t="s">
        <v>2943</v>
      </c>
      <c r="D508" s="559" t="str">
        <f aca="false">A508&amp;" "&amp;HLOOKUP($C$1,$E$1:$X$4910,ROW(D508))</f>
        <v>SGP Singapore </v>
      </c>
      <c r="E508" s="555" t="s">
        <v>2944</v>
      </c>
      <c r="F508" s="556" t="s">
        <v>2945</v>
      </c>
      <c r="G508" s="555" t="s">
        <v>2945</v>
      </c>
      <c r="H508" s="555" t="s">
        <v>2944</v>
      </c>
      <c r="I508" s="555" t="s">
        <v>2946</v>
      </c>
      <c r="J508" s="556" t="str">
        <f aca="false">"[pt]"&amp;E508</f>
        <v>[pt]Singapur</v>
      </c>
      <c r="K508" s="556" t="str">
        <f aca="false">"[gr]"&amp;E508</f>
        <v>[gr]Singapur</v>
      </c>
      <c r="L508" s="627" t="s">
        <v>600</v>
      </c>
      <c r="M508" s="557" t="str">
        <f aca="false">IF(L508=A508,"","nix")</f>
        <v/>
      </c>
    </row>
    <row r="509" customFormat="false" ht="15.75" hidden="false" customHeight="true" outlineLevel="0" collapsed="false">
      <c r="A509" s="625" t="s">
        <v>602</v>
      </c>
      <c r="B509" s="576" t="s">
        <v>2947</v>
      </c>
      <c r="C509" s="625" t="s">
        <v>2948</v>
      </c>
      <c r="D509" s="559" t="str">
        <f aca="false">A509&amp;" "&amp;HLOOKUP($C$1,$E$1:$X$4910,ROW(D509))</f>
        <v>SLB Solomon Islands </v>
      </c>
      <c r="E509" s="555" t="s">
        <v>2949</v>
      </c>
      <c r="F509" s="556" t="s">
        <v>2950</v>
      </c>
      <c r="G509" s="555" t="s">
        <v>2951</v>
      </c>
      <c r="H509" s="555" t="s">
        <v>2952</v>
      </c>
      <c r="I509" s="555" t="s">
        <v>2953</v>
      </c>
      <c r="J509" s="556" t="str">
        <f aca="false">"[pt]"&amp;E509</f>
        <v>[pt]Salomonen</v>
      </c>
      <c r="K509" s="556" t="str">
        <f aca="false">"[gr]"&amp;E509</f>
        <v>[gr]Salomonen</v>
      </c>
      <c r="L509" s="627" t="s">
        <v>602</v>
      </c>
      <c r="M509" s="557" t="str">
        <f aca="false">IF(L509=A509,"","nix")</f>
        <v/>
      </c>
    </row>
    <row r="510" customFormat="false" ht="15.75" hidden="false" customHeight="true" outlineLevel="0" collapsed="false">
      <c r="A510" s="625" t="s">
        <v>604</v>
      </c>
      <c r="B510" s="576" t="s">
        <v>2954</v>
      </c>
      <c r="C510" s="625" t="s">
        <v>2955</v>
      </c>
      <c r="D510" s="559" t="str">
        <f aca="false">A510&amp;" "&amp;HLOOKUP($C$1,$E$1:$X$4910,ROW(D510))</f>
        <v>SLE Sierra Leone </v>
      </c>
      <c r="E510" s="555" t="s">
        <v>603</v>
      </c>
      <c r="F510" s="556" t="s">
        <v>2956</v>
      </c>
      <c r="G510" s="555" t="s">
        <v>2956</v>
      </c>
      <c r="H510" s="555" t="s">
        <v>2957</v>
      </c>
      <c r="I510" s="555" t="s">
        <v>603</v>
      </c>
      <c r="J510" s="556" t="str">
        <f aca="false">"[pt]"&amp;E510</f>
        <v>[pt]Sierra Leone</v>
      </c>
      <c r="K510" s="556" t="str">
        <f aca="false">"[gr]"&amp;E510</f>
        <v>[gr]Sierra Leone</v>
      </c>
      <c r="L510" s="627" t="s">
        <v>604</v>
      </c>
      <c r="M510" s="557" t="str">
        <f aca="false">IF(L510=A510,"","nix")</f>
        <v/>
      </c>
    </row>
    <row r="511" customFormat="false" ht="15.75" hidden="false" customHeight="true" outlineLevel="0" collapsed="false">
      <c r="A511" s="625" t="s">
        <v>606</v>
      </c>
      <c r="B511" s="576" t="s">
        <v>2958</v>
      </c>
      <c r="C511" s="625" t="s">
        <v>2959</v>
      </c>
      <c r="D511" s="559" t="str">
        <f aca="false">A511&amp;" "&amp;HLOOKUP($C$1,$E$1:$X$4910,ROW(D511))</f>
        <v>SLV El Salvador </v>
      </c>
      <c r="E511" s="555" t="s">
        <v>605</v>
      </c>
      <c r="F511" s="556" t="s">
        <v>2960</v>
      </c>
      <c r="G511" s="555" t="s">
        <v>2960</v>
      </c>
      <c r="H511" s="555" t="s">
        <v>605</v>
      </c>
      <c r="I511" s="555" t="s">
        <v>2961</v>
      </c>
      <c r="J511" s="556" t="str">
        <f aca="false">"[pt]"&amp;E511</f>
        <v>[pt]El Salvador</v>
      </c>
      <c r="K511" s="556" t="str">
        <f aca="false">"[gr]"&amp;E511</f>
        <v>[gr]El Salvador</v>
      </c>
      <c r="L511" s="627" t="s">
        <v>606</v>
      </c>
      <c r="M511" s="557" t="str">
        <f aca="false">IF(L511=A511,"","nix")</f>
        <v/>
      </c>
    </row>
    <row r="512" customFormat="false" ht="15.75" hidden="false" customHeight="true" outlineLevel="0" collapsed="false">
      <c r="A512" s="625" t="s">
        <v>608</v>
      </c>
      <c r="B512" s="576" t="s">
        <v>2962</v>
      </c>
      <c r="C512" s="625" t="s">
        <v>2963</v>
      </c>
      <c r="D512" s="559" t="str">
        <f aca="false">A512&amp;" "&amp;HLOOKUP($C$1,$E$1:$X$4910,ROW(D512))</f>
        <v>SMR San Marino </v>
      </c>
      <c r="E512" s="555" t="s">
        <v>607</v>
      </c>
      <c r="F512" s="556" t="s">
        <v>2964</v>
      </c>
      <c r="G512" s="555" t="s">
        <v>2964</v>
      </c>
      <c r="H512" s="555" t="s">
        <v>607</v>
      </c>
      <c r="I512" s="555" t="s">
        <v>2965</v>
      </c>
      <c r="J512" s="556" t="str">
        <f aca="false">"[pt]"&amp;E512</f>
        <v>[pt]San Marino</v>
      </c>
      <c r="K512" s="556" t="str">
        <f aca="false">"[gr]"&amp;E512</f>
        <v>[gr]San Marino</v>
      </c>
      <c r="L512" s="627" t="s">
        <v>608</v>
      </c>
      <c r="M512" s="557" t="str">
        <f aca="false">IF(L512=A512,"","nix")</f>
        <v/>
      </c>
    </row>
    <row r="513" customFormat="false" ht="15.75" hidden="false" customHeight="true" outlineLevel="0" collapsed="false">
      <c r="A513" s="625" t="s">
        <v>610</v>
      </c>
      <c r="B513" s="576" t="s">
        <v>2966</v>
      </c>
      <c r="C513" s="625" t="s">
        <v>2967</v>
      </c>
      <c r="D513" s="559" t="str">
        <f aca="false">A513&amp;" "&amp;HLOOKUP($C$1,$E$1:$X$4910,ROW(D513))</f>
        <v>SOM Somalia </v>
      </c>
      <c r="E513" s="555" t="s">
        <v>609</v>
      </c>
      <c r="F513" s="556" t="s">
        <v>2968</v>
      </c>
      <c r="G513" s="555" t="s">
        <v>2968</v>
      </c>
      <c r="H513" s="555" t="s">
        <v>609</v>
      </c>
      <c r="I513" s="555" t="s">
        <v>2969</v>
      </c>
      <c r="J513" s="556" t="str">
        <f aca="false">"[pt]"&amp;E513</f>
        <v>[pt]Somalia</v>
      </c>
      <c r="K513" s="556" t="str">
        <f aca="false">"[gr]"&amp;E513</f>
        <v>[gr]Somalia</v>
      </c>
      <c r="L513" s="627" t="s">
        <v>610</v>
      </c>
      <c r="M513" s="557" t="str">
        <f aca="false">IF(L513=A513,"","nix")</f>
        <v/>
      </c>
    </row>
    <row r="514" customFormat="false" ht="15.75" hidden="false" customHeight="true" outlineLevel="0" collapsed="false">
      <c r="A514" s="625" t="s">
        <v>612</v>
      </c>
      <c r="B514" s="576" t="s">
        <v>2970</v>
      </c>
      <c r="C514" s="625" t="s">
        <v>2971</v>
      </c>
      <c r="D514" s="559" t="str">
        <f aca="false">A514&amp;" "&amp;HLOOKUP($C$1,$E$1:$X$4910,ROW(D514))</f>
        <v>SRB Serbia </v>
      </c>
      <c r="E514" s="555" t="s">
        <v>2972</v>
      </c>
      <c r="F514" s="556" t="s">
        <v>2973</v>
      </c>
      <c r="G514" s="555" t="s">
        <v>2973</v>
      </c>
      <c r="H514" s="555" t="s">
        <v>611</v>
      </c>
      <c r="I514" s="555" t="s">
        <v>2974</v>
      </c>
      <c r="J514" s="556" t="str">
        <f aca="false">"[pt]"&amp;E514</f>
        <v>[pt]Serbien</v>
      </c>
      <c r="K514" s="556" t="str">
        <f aca="false">"[gr]"&amp;E514</f>
        <v>[gr]Serbien</v>
      </c>
      <c r="L514" s="627" t="s">
        <v>612</v>
      </c>
      <c r="M514" s="557" t="str">
        <f aca="false">IF(L514=A514,"","nix")</f>
        <v/>
      </c>
    </row>
    <row r="515" customFormat="false" ht="15.75" hidden="false" customHeight="true" outlineLevel="0" collapsed="false">
      <c r="A515" s="625" t="s">
        <v>614</v>
      </c>
      <c r="B515" s="576"/>
      <c r="C515" s="625" t="s">
        <v>2975</v>
      </c>
      <c r="D515" s="559" t="str">
        <f aca="false">A515&amp;" "&amp;HLOOKUP($C$1,$E$1:$X$4910,ROW(D515))</f>
        <v>SSD South Sudan </v>
      </c>
      <c r="E515" s="555" t="s">
        <v>2976</v>
      </c>
      <c r="F515" s="556" t="s">
        <v>2977</v>
      </c>
      <c r="G515" s="555" t="s">
        <v>2978</v>
      </c>
      <c r="H515" s="555" t="s">
        <v>2979</v>
      </c>
      <c r="I515" s="555" t="s">
        <v>2980</v>
      </c>
      <c r="J515" s="556" t="str">
        <f aca="false">"[pt]"&amp;E515</f>
        <v>[pt]Südsudan</v>
      </c>
      <c r="K515" s="556" t="str">
        <f aca="false">"[gr]"&amp;E515</f>
        <v>[gr]Südsudan</v>
      </c>
      <c r="L515" s="627" t="s">
        <v>614</v>
      </c>
      <c r="M515" s="557" t="str">
        <f aca="false">IF(L515=A515,"","nix")</f>
        <v/>
      </c>
    </row>
    <row r="516" customFormat="false" ht="15.75" hidden="false" customHeight="true" outlineLevel="0" collapsed="false">
      <c r="A516" s="625" t="s">
        <v>616</v>
      </c>
      <c r="B516" s="576" t="s">
        <v>2981</v>
      </c>
      <c r="C516" s="625" t="s">
        <v>2982</v>
      </c>
      <c r="D516" s="559" t="str">
        <f aca="false">A516&amp;" "&amp;HLOOKUP($C$1,$E$1:$X$4910,ROW(D516))</f>
        <v>STP Sao Tome and Principe </v>
      </c>
      <c r="E516" s="555" t="s">
        <v>2983</v>
      </c>
      <c r="F516" s="556" t="s">
        <v>2984</v>
      </c>
      <c r="G516" s="555" t="s">
        <v>2985</v>
      </c>
      <c r="H516" s="555" t="s">
        <v>2986</v>
      </c>
      <c r="I516" s="555" t="s">
        <v>2987</v>
      </c>
      <c r="J516" s="556" t="str">
        <f aca="false">"[pt]"&amp;E516</f>
        <v>[pt]São Tomé und Príncipe</v>
      </c>
      <c r="K516" s="556" t="str">
        <f aca="false">"[gr]"&amp;E516</f>
        <v>[gr]São Tomé und Príncipe</v>
      </c>
      <c r="L516" s="627" t="s">
        <v>616</v>
      </c>
      <c r="M516" s="557" t="str">
        <f aca="false">IF(L516=A516,"","nix")</f>
        <v/>
      </c>
    </row>
    <row r="517" customFormat="false" ht="15.75" hidden="false" customHeight="true" outlineLevel="0" collapsed="false">
      <c r="A517" s="625" t="s">
        <v>618</v>
      </c>
      <c r="B517" s="576" t="s">
        <v>2988</v>
      </c>
      <c r="C517" s="625" t="s">
        <v>2989</v>
      </c>
      <c r="D517" s="559" t="str">
        <f aca="false">A517&amp;" "&amp;HLOOKUP($C$1,$E$1:$X$4910,ROW(D517))</f>
        <v>SUR Suriname </v>
      </c>
      <c r="E517" s="555" t="s">
        <v>617</v>
      </c>
      <c r="F517" s="556" t="s">
        <v>2990</v>
      </c>
      <c r="G517" s="555" t="s">
        <v>2990</v>
      </c>
      <c r="H517" s="555" t="s">
        <v>2991</v>
      </c>
      <c r="I517" s="555" t="s">
        <v>2991</v>
      </c>
      <c r="J517" s="556" t="str">
        <f aca="false">"[pt]"&amp;E517</f>
        <v>[pt]Suriname</v>
      </c>
      <c r="K517" s="556" t="str">
        <f aca="false">"[gr]"&amp;E517</f>
        <v>[gr]Suriname</v>
      </c>
      <c r="L517" s="627" t="s">
        <v>618</v>
      </c>
      <c r="M517" s="557" t="str">
        <f aca="false">IF(L517=A517,"","nix")</f>
        <v/>
      </c>
    </row>
    <row r="518" customFormat="false" ht="15.75" hidden="false" customHeight="true" outlineLevel="0" collapsed="false">
      <c r="A518" s="625" t="s">
        <v>620</v>
      </c>
      <c r="B518" s="576" t="s">
        <v>2992</v>
      </c>
      <c r="C518" s="625" t="s">
        <v>2993</v>
      </c>
      <c r="D518" s="559" t="str">
        <f aca="false">A518&amp;" "&amp;HLOOKUP($C$1,$E$1:$X$4910,ROW(D518))</f>
        <v>SVK Slovakia </v>
      </c>
      <c r="E518" s="555" t="s">
        <v>2994</v>
      </c>
      <c r="F518" s="556" t="s">
        <v>2995</v>
      </c>
      <c r="G518" s="555" t="s">
        <v>2996</v>
      </c>
      <c r="H518" s="555" t="s">
        <v>2997</v>
      </c>
      <c r="I518" s="555" t="s">
        <v>2998</v>
      </c>
      <c r="J518" s="556" t="str">
        <f aca="false">"[pt]"&amp;E518</f>
        <v>[pt]Slowakei</v>
      </c>
      <c r="K518" s="556" t="str">
        <f aca="false">"[gr]"&amp;E518</f>
        <v>[gr]Slowakei</v>
      </c>
      <c r="L518" s="627" t="s">
        <v>620</v>
      </c>
      <c r="M518" s="557" t="str">
        <f aca="false">IF(L518=A518,"","nix")</f>
        <v/>
      </c>
    </row>
    <row r="519" customFormat="false" ht="15.75" hidden="false" customHeight="true" outlineLevel="0" collapsed="false">
      <c r="A519" s="625" t="s">
        <v>622</v>
      </c>
      <c r="B519" s="576" t="s">
        <v>2999</v>
      </c>
      <c r="C519" s="625" t="s">
        <v>3000</v>
      </c>
      <c r="D519" s="559" t="str">
        <f aca="false">A519&amp;" "&amp;HLOOKUP($C$1,$E$1:$X$4910,ROW(D519))</f>
        <v>SVN Slovenia </v>
      </c>
      <c r="E519" s="555" t="s">
        <v>3001</v>
      </c>
      <c r="F519" s="556" t="s">
        <v>3002</v>
      </c>
      <c r="G519" s="555" t="s">
        <v>3002</v>
      </c>
      <c r="H519" s="555" t="s">
        <v>3003</v>
      </c>
      <c r="I519" s="555" t="s">
        <v>3004</v>
      </c>
      <c r="J519" s="556" t="str">
        <f aca="false">"[pt]"&amp;E519</f>
        <v>[pt]Slowenien</v>
      </c>
      <c r="K519" s="556" t="str">
        <f aca="false">"[gr]"&amp;E519</f>
        <v>[gr]Slowenien</v>
      </c>
      <c r="L519" s="627" t="s">
        <v>622</v>
      </c>
      <c r="M519" s="557" t="str">
        <f aca="false">IF(L519=A519,"","nix")</f>
        <v/>
      </c>
    </row>
    <row r="520" customFormat="false" ht="15.75" hidden="false" customHeight="true" outlineLevel="0" collapsed="false">
      <c r="A520" s="625" t="s">
        <v>624</v>
      </c>
      <c r="B520" s="576" t="s">
        <v>3005</v>
      </c>
      <c r="C520" s="625" t="s">
        <v>3006</v>
      </c>
      <c r="D520" s="559" t="str">
        <f aca="false">A520&amp;" "&amp;HLOOKUP($C$1,$E$1:$X$4910,ROW(D520))</f>
        <v>SWE Sweden </v>
      </c>
      <c r="E520" s="555" t="s">
        <v>3007</v>
      </c>
      <c r="F520" s="556" t="s">
        <v>3008</v>
      </c>
      <c r="G520" s="555" t="s">
        <v>3009</v>
      </c>
      <c r="H520" s="555" t="s">
        <v>3010</v>
      </c>
      <c r="I520" s="555" t="s">
        <v>3011</v>
      </c>
      <c r="J520" s="556" t="str">
        <f aca="false">"[pt]"&amp;E520</f>
        <v>[pt]Schweden</v>
      </c>
      <c r="K520" s="556" t="str">
        <f aca="false">"[gr]"&amp;E520</f>
        <v>[gr]Schweden</v>
      </c>
      <c r="L520" s="627" t="s">
        <v>624</v>
      </c>
      <c r="M520" s="557" t="str">
        <f aca="false">IF(L520=A520,"","nix")</f>
        <v/>
      </c>
    </row>
    <row r="521" customFormat="false" ht="15.75" hidden="false" customHeight="true" outlineLevel="0" collapsed="false">
      <c r="A521" s="625" t="s">
        <v>626</v>
      </c>
      <c r="B521" s="576" t="s">
        <v>3012</v>
      </c>
      <c r="C521" s="625" t="s">
        <v>3013</v>
      </c>
      <c r="D521" s="559" t="str">
        <f aca="false">A521&amp;" "&amp;HLOOKUP($C$1,$E$1:$X$4910,ROW(D521))</f>
        <v>SWZ Swaziland </v>
      </c>
      <c r="E521" s="555" t="s">
        <v>3014</v>
      </c>
      <c r="F521" s="556" t="s">
        <v>3015</v>
      </c>
      <c r="G521" s="555" t="s">
        <v>3015</v>
      </c>
      <c r="H521" s="555" t="s">
        <v>3016</v>
      </c>
      <c r="I521" s="555" t="s">
        <v>625</v>
      </c>
      <c r="J521" s="556" t="str">
        <f aca="false">"[pt]"&amp;E521</f>
        <v>[pt]Swasiland</v>
      </c>
      <c r="K521" s="556" t="str">
        <f aca="false">"[gr]"&amp;E521</f>
        <v>[gr]Swasiland</v>
      </c>
      <c r="L521" s="627" t="s">
        <v>626</v>
      </c>
      <c r="M521" s="557" t="str">
        <f aca="false">IF(L521=A521,"","nix")</f>
        <v/>
      </c>
    </row>
    <row r="522" customFormat="false" ht="15.75" hidden="false" customHeight="true" outlineLevel="0" collapsed="false">
      <c r="A522" s="625" t="s">
        <v>628</v>
      </c>
      <c r="B522" s="576" t="s">
        <v>3017</v>
      </c>
      <c r="C522" s="625" t="s">
        <v>3018</v>
      </c>
      <c r="D522" s="559" t="str">
        <f aca="false">A522&amp;" "&amp;HLOOKUP($C$1,$E$1:$X$4910,ROW(D522))</f>
        <v>SXM Sint Maarten (Dutch part) </v>
      </c>
      <c r="E522" s="555" t="s">
        <v>3019</v>
      </c>
      <c r="F522" s="556" t="s">
        <v>3020</v>
      </c>
      <c r="G522" s="555" t="s">
        <v>3021</v>
      </c>
      <c r="H522" s="555" t="s">
        <v>3022</v>
      </c>
      <c r="I522" s="555" t="s">
        <v>2672</v>
      </c>
      <c r="J522" s="556" t="str">
        <f aca="false">"[pt]"&amp;E522</f>
        <v>[pt]Sint Maarten (niederl. Teil)</v>
      </c>
      <c r="K522" s="556" t="str">
        <f aca="false">"[gr]"&amp;E522</f>
        <v>[gr]Sint Maarten (niederl. Teil)</v>
      </c>
      <c r="L522" s="627" t="s">
        <v>628</v>
      </c>
      <c r="M522" s="557" t="str">
        <f aca="false">IF(L522=A522,"","nix")</f>
        <v/>
      </c>
    </row>
    <row r="523" customFormat="false" ht="15.75" hidden="false" customHeight="true" outlineLevel="0" collapsed="false">
      <c r="A523" s="625" t="s">
        <v>630</v>
      </c>
      <c r="B523" s="576" t="s">
        <v>3023</v>
      </c>
      <c r="C523" s="625" t="s">
        <v>3024</v>
      </c>
      <c r="D523" s="559" t="str">
        <f aca="false">A523&amp;" "&amp;HLOOKUP($C$1,$E$1:$X$4910,ROW(D523))</f>
        <v>SYC Seychelles </v>
      </c>
      <c r="E523" s="555" t="s">
        <v>3025</v>
      </c>
      <c r="F523" s="556" t="s">
        <v>3026</v>
      </c>
      <c r="G523" s="555" t="s">
        <v>3026</v>
      </c>
      <c r="H523" s="555" t="s">
        <v>629</v>
      </c>
      <c r="I523" s="555" t="s">
        <v>629</v>
      </c>
      <c r="J523" s="556" t="str">
        <f aca="false">"[pt]"&amp;E523</f>
        <v>[pt]Seychellen</v>
      </c>
      <c r="K523" s="556" t="str">
        <f aca="false">"[gr]"&amp;E523</f>
        <v>[gr]Seychellen</v>
      </c>
      <c r="L523" s="627" t="s">
        <v>630</v>
      </c>
      <c r="M523" s="557" t="str">
        <f aca="false">IF(L523=A523,"","nix")</f>
        <v/>
      </c>
    </row>
    <row r="524" customFormat="false" ht="15.75" hidden="false" customHeight="true" outlineLevel="0" collapsed="false">
      <c r="A524" s="625" t="s">
        <v>632</v>
      </c>
      <c r="B524" s="576" t="s">
        <v>3027</v>
      </c>
      <c r="C524" s="625" t="s">
        <v>3028</v>
      </c>
      <c r="D524" s="559" t="str">
        <f aca="false">A524&amp;" "&amp;HLOOKUP($C$1,$E$1:$X$4910,ROW(D524))</f>
        <v>SYR Syrian Arab Republic </v>
      </c>
      <c r="E524" s="555" t="s">
        <v>3029</v>
      </c>
      <c r="F524" s="556" t="s">
        <v>3030</v>
      </c>
      <c r="G524" s="555" t="s">
        <v>3031</v>
      </c>
      <c r="H524" s="555" t="s">
        <v>3032</v>
      </c>
      <c r="I524" s="555" t="s">
        <v>3033</v>
      </c>
      <c r="J524" s="556" t="str">
        <f aca="false">"[pt]"&amp;E524</f>
        <v>[pt]Syrien, Arabische Republik</v>
      </c>
      <c r="K524" s="556" t="str">
        <f aca="false">"[gr]"&amp;E524</f>
        <v>[gr]Syrien, Arabische Republik</v>
      </c>
      <c r="L524" s="627" t="s">
        <v>632</v>
      </c>
      <c r="M524" s="557" t="str">
        <f aca="false">IF(L524=A524,"","nix")</f>
        <v/>
      </c>
    </row>
    <row r="525" customFormat="false" ht="15.75" hidden="false" customHeight="true" outlineLevel="0" collapsed="false">
      <c r="A525" s="625" t="s">
        <v>634</v>
      </c>
      <c r="B525" s="576" t="s">
        <v>3034</v>
      </c>
      <c r="C525" s="625" t="s">
        <v>3035</v>
      </c>
      <c r="D525" s="559" t="str">
        <f aca="false">A525&amp;" "&amp;HLOOKUP($C$1,$E$1:$X$4910,ROW(D525))</f>
        <v>TCA Turks and Caicos Islands </v>
      </c>
      <c r="E525" s="555" t="s">
        <v>3036</v>
      </c>
      <c r="F525" s="556" t="s">
        <v>3037</v>
      </c>
      <c r="G525" s="555" t="s">
        <v>3038</v>
      </c>
      <c r="H525" s="555" t="s">
        <v>3039</v>
      </c>
      <c r="I525" s="555" t="s">
        <v>3040</v>
      </c>
      <c r="J525" s="556" t="str">
        <f aca="false">"[pt]"&amp;E525</f>
        <v>[pt]Turks- und Caicosinseln</v>
      </c>
      <c r="K525" s="556" t="str">
        <f aca="false">"[gr]"&amp;E525</f>
        <v>[gr]Turks- und Caicosinseln</v>
      </c>
      <c r="L525" s="627" t="s">
        <v>634</v>
      </c>
      <c r="M525" s="557" t="str">
        <f aca="false">IF(L525=A525,"","nix")</f>
        <v/>
      </c>
    </row>
    <row r="526" customFormat="false" ht="15.75" hidden="false" customHeight="true" outlineLevel="0" collapsed="false">
      <c r="A526" s="625" t="s">
        <v>636</v>
      </c>
      <c r="B526" s="576" t="s">
        <v>3041</v>
      </c>
      <c r="C526" s="625" t="s">
        <v>3042</v>
      </c>
      <c r="D526" s="559" t="str">
        <f aca="false">A526&amp;" "&amp;HLOOKUP($C$1,$E$1:$X$4910,ROW(D526))</f>
        <v>TCD Chad </v>
      </c>
      <c r="E526" s="555" t="s">
        <v>3043</v>
      </c>
      <c r="F526" s="556" t="s">
        <v>3044</v>
      </c>
      <c r="G526" s="555" t="s">
        <v>3045</v>
      </c>
      <c r="H526" s="555" t="s">
        <v>635</v>
      </c>
      <c r="I526" s="555" t="s">
        <v>3046</v>
      </c>
      <c r="J526" s="556" t="str">
        <f aca="false">"[pt]"&amp;E526</f>
        <v>[pt]Tschad</v>
      </c>
      <c r="K526" s="556" t="str">
        <f aca="false">"[gr]"&amp;E526</f>
        <v>[gr]Tschad</v>
      </c>
      <c r="L526" s="627" t="s">
        <v>636</v>
      </c>
      <c r="M526" s="557" t="str">
        <f aca="false">IF(L526=A526,"","nix")</f>
        <v/>
      </c>
    </row>
    <row r="527" customFormat="false" ht="15.75" hidden="false" customHeight="true" outlineLevel="0" collapsed="false">
      <c r="A527" s="625" t="s">
        <v>638</v>
      </c>
      <c r="B527" s="576" t="s">
        <v>3047</v>
      </c>
      <c r="C527" s="625" t="s">
        <v>3048</v>
      </c>
      <c r="D527" s="559" t="str">
        <f aca="false">A527&amp;" "&amp;HLOOKUP($C$1,$E$1:$X$4910,ROW(D527))</f>
        <v>TGO Togo </v>
      </c>
      <c r="E527" s="555" t="s">
        <v>637</v>
      </c>
      <c r="F527" s="556" t="s">
        <v>3049</v>
      </c>
      <c r="G527" s="555" t="s">
        <v>3049</v>
      </c>
      <c r="H527" s="555" t="s">
        <v>637</v>
      </c>
      <c r="I527" s="555" t="s">
        <v>637</v>
      </c>
      <c r="J527" s="556" t="str">
        <f aca="false">"[pt]"&amp;E527</f>
        <v>[pt]Togo</v>
      </c>
      <c r="K527" s="556" t="str">
        <f aca="false">"[gr]"&amp;E527</f>
        <v>[gr]Togo</v>
      </c>
      <c r="L527" s="627" t="s">
        <v>638</v>
      </c>
      <c r="M527" s="557" t="str">
        <f aca="false">IF(L527=A527,"","nix")</f>
        <v/>
      </c>
    </row>
    <row r="528" customFormat="false" ht="15.75" hidden="false" customHeight="true" outlineLevel="0" collapsed="false">
      <c r="A528" s="625" t="s">
        <v>640</v>
      </c>
      <c r="B528" s="576" t="s">
        <v>3050</v>
      </c>
      <c r="C528" s="625" t="s">
        <v>3051</v>
      </c>
      <c r="D528" s="559" t="str">
        <f aca="false">A528&amp;" "&amp;HLOOKUP($C$1,$E$1:$X$4910,ROW(D528))</f>
        <v>THA Thailand </v>
      </c>
      <c r="E528" s="555" t="s">
        <v>639</v>
      </c>
      <c r="F528" s="556" t="s">
        <v>3052</v>
      </c>
      <c r="G528" s="555" t="s">
        <v>3053</v>
      </c>
      <c r="H528" s="555" t="s">
        <v>3054</v>
      </c>
      <c r="I528" s="555" t="s">
        <v>3055</v>
      </c>
      <c r="J528" s="556" t="str">
        <f aca="false">"[pt]"&amp;E528</f>
        <v>[pt]Thailand</v>
      </c>
      <c r="K528" s="556" t="str">
        <f aca="false">"[gr]"&amp;E528</f>
        <v>[gr]Thailand</v>
      </c>
      <c r="L528" s="627" t="s">
        <v>640</v>
      </c>
      <c r="M528" s="557" t="str">
        <f aca="false">IF(L528=A528,"","nix")</f>
        <v/>
      </c>
    </row>
    <row r="529" customFormat="false" ht="15.75" hidden="false" customHeight="true" outlineLevel="0" collapsed="false">
      <c r="A529" s="625" t="s">
        <v>642</v>
      </c>
      <c r="B529" s="576" t="s">
        <v>3056</v>
      </c>
      <c r="C529" s="625" t="s">
        <v>3057</v>
      </c>
      <c r="D529" s="559" t="str">
        <f aca="false">A529&amp;" "&amp;HLOOKUP($C$1,$E$1:$X$4910,ROW(D529))</f>
        <v>TJK Tajikistan </v>
      </c>
      <c r="E529" s="555" t="s">
        <v>3058</v>
      </c>
      <c r="F529" s="556" t="s">
        <v>3059</v>
      </c>
      <c r="G529" s="555" t="s">
        <v>3060</v>
      </c>
      <c r="H529" s="555" t="s">
        <v>3061</v>
      </c>
      <c r="I529" s="555" t="s">
        <v>641</v>
      </c>
      <c r="J529" s="556" t="str">
        <f aca="false">"[pt]"&amp;E529</f>
        <v>[pt]Tadschikistan</v>
      </c>
      <c r="K529" s="556" t="str">
        <f aca="false">"[gr]"&amp;E529</f>
        <v>[gr]Tadschikistan</v>
      </c>
      <c r="L529" s="627" t="s">
        <v>642</v>
      </c>
      <c r="M529" s="557" t="str">
        <f aca="false">IF(L529=A529,"","nix")</f>
        <v/>
      </c>
    </row>
    <row r="530" customFormat="false" ht="15.75" hidden="false" customHeight="true" outlineLevel="0" collapsed="false">
      <c r="A530" s="625" t="s">
        <v>644</v>
      </c>
      <c r="B530" s="576" t="s">
        <v>3062</v>
      </c>
      <c r="C530" s="625" t="s">
        <v>3063</v>
      </c>
      <c r="D530" s="559" t="str">
        <f aca="false">A530&amp;" "&amp;HLOOKUP($C$1,$E$1:$X$4910,ROW(D530))</f>
        <v>TKM Turkmenistan </v>
      </c>
      <c r="E530" s="555" t="s">
        <v>643</v>
      </c>
      <c r="F530" s="556" t="s">
        <v>3064</v>
      </c>
      <c r="G530" s="555" t="s">
        <v>3064</v>
      </c>
      <c r="H530" s="555" t="s">
        <v>3065</v>
      </c>
      <c r="I530" s="555" t="s">
        <v>3066</v>
      </c>
      <c r="J530" s="556" t="str">
        <f aca="false">"[pt]"&amp;E530</f>
        <v>[pt]Turkmenistan</v>
      </c>
      <c r="K530" s="556" t="str">
        <f aca="false">"[gr]"&amp;E530</f>
        <v>[gr]Turkmenistan</v>
      </c>
      <c r="L530" s="627" t="s">
        <v>644</v>
      </c>
      <c r="M530" s="557" t="str">
        <f aca="false">IF(L530=A530,"","nix")</f>
        <v/>
      </c>
    </row>
    <row r="531" customFormat="false" ht="15.75" hidden="false" customHeight="true" outlineLevel="0" collapsed="false">
      <c r="A531" s="625" t="s">
        <v>646</v>
      </c>
      <c r="B531" s="576" t="s">
        <v>3067</v>
      </c>
      <c r="C531" s="625" t="s">
        <v>3068</v>
      </c>
      <c r="D531" s="559" t="str">
        <f aca="false">A531&amp;" "&amp;HLOOKUP($C$1,$E$1:$X$4910,ROW(D531))</f>
        <v>TLS Timor-Leste </v>
      </c>
      <c r="E531" s="555" t="s">
        <v>3069</v>
      </c>
      <c r="F531" s="556" t="s">
        <v>3070</v>
      </c>
      <c r="G531" s="555" t="s">
        <v>3071</v>
      </c>
      <c r="H531" s="555" t="s">
        <v>3072</v>
      </c>
      <c r="I531" s="555" t="s">
        <v>3073</v>
      </c>
      <c r="J531" s="556" t="str">
        <f aca="false">"[pt]"&amp;E531</f>
        <v>[pt]Osttimor (Timor-Leste)</v>
      </c>
      <c r="K531" s="556" t="str">
        <f aca="false">"[gr]"&amp;E531</f>
        <v>[gr]Osttimor (Timor-Leste)</v>
      </c>
      <c r="L531" s="627" t="s">
        <v>646</v>
      </c>
      <c r="M531" s="557" t="str">
        <f aca="false">IF(L531=A531,"","nix")</f>
        <v/>
      </c>
    </row>
    <row r="532" customFormat="false" ht="15.75" hidden="false" customHeight="true" outlineLevel="0" collapsed="false">
      <c r="A532" s="625" t="s">
        <v>648</v>
      </c>
      <c r="B532" s="576" t="s">
        <v>3074</v>
      </c>
      <c r="C532" s="625" t="s">
        <v>3075</v>
      </c>
      <c r="D532" s="559" t="str">
        <f aca="false">A532&amp;" "&amp;HLOOKUP($C$1,$E$1:$X$4910,ROW(D532))</f>
        <v>TON Tonga </v>
      </c>
      <c r="E532" s="555" t="s">
        <v>647</v>
      </c>
      <c r="F532" s="556" t="s">
        <v>3076</v>
      </c>
      <c r="G532" s="555" t="s">
        <v>3076</v>
      </c>
      <c r="H532" s="555" t="s">
        <v>647</v>
      </c>
      <c r="I532" s="555" t="s">
        <v>647</v>
      </c>
      <c r="J532" s="556" t="str">
        <f aca="false">"[pt]"&amp;E532</f>
        <v>[pt]Tonga</v>
      </c>
      <c r="K532" s="556" t="str">
        <f aca="false">"[gr]"&amp;E532</f>
        <v>[gr]Tonga</v>
      </c>
      <c r="L532" s="627" t="s">
        <v>648</v>
      </c>
      <c r="M532" s="557" t="str">
        <f aca="false">IF(L532=A532,"","nix")</f>
        <v/>
      </c>
    </row>
    <row r="533" customFormat="false" ht="15.75" hidden="false" customHeight="true" outlineLevel="0" collapsed="false">
      <c r="A533" s="625" t="s">
        <v>650</v>
      </c>
      <c r="B533" s="576" t="s">
        <v>3077</v>
      </c>
      <c r="C533" s="625" t="s">
        <v>3078</v>
      </c>
      <c r="D533" s="559" t="str">
        <f aca="false">A533&amp;" "&amp;HLOOKUP($C$1,$E$1:$X$4910,ROW(D533))</f>
        <v>TTO Trinidad and Tobago </v>
      </c>
      <c r="E533" s="555" t="s">
        <v>3079</v>
      </c>
      <c r="F533" s="556" t="s">
        <v>3080</v>
      </c>
      <c r="G533" s="555" t="s">
        <v>3081</v>
      </c>
      <c r="H533" s="555" t="s">
        <v>3082</v>
      </c>
      <c r="I533" s="555" t="s">
        <v>3083</v>
      </c>
      <c r="J533" s="556" t="str">
        <f aca="false">"[pt]"&amp;E533</f>
        <v>[pt]Trinidad und Tobago</v>
      </c>
      <c r="K533" s="556" t="str">
        <f aca="false">"[gr]"&amp;E533</f>
        <v>[gr]Trinidad und Tobago</v>
      </c>
      <c r="L533" s="627" t="s">
        <v>650</v>
      </c>
      <c r="M533" s="557" t="str">
        <f aca="false">IF(L533=A533,"","nix")</f>
        <v/>
      </c>
    </row>
    <row r="534" customFormat="false" ht="15.75" hidden="false" customHeight="true" outlineLevel="0" collapsed="false">
      <c r="A534" s="625" t="s">
        <v>652</v>
      </c>
      <c r="B534" s="576" t="s">
        <v>3084</v>
      </c>
      <c r="C534" s="625" t="s">
        <v>3085</v>
      </c>
      <c r="D534" s="559" t="str">
        <f aca="false">A534&amp;" "&amp;HLOOKUP($C$1,$E$1:$X$4910,ROW(D534))</f>
        <v>TUN Tunisia </v>
      </c>
      <c r="E534" s="555" t="s">
        <v>3086</v>
      </c>
      <c r="F534" s="556" t="s">
        <v>3087</v>
      </c>
      <c r="G534" s="555" t="s">
        <v>3087</v>
      </c>
      <c r="H534" s="555" t="s">
        <v>3088</v>
      </c>
      <c r="I534" s="555" t="s">
        <v>3089</v>
      </c>
      <c r="J534" s="556" t="str">
        <f aca="false">"[pt]"&amp;E534</f>
        <v>[pt]Tunesien</v>
      </c>
      <c r="K534" s="556" t="str">
        <f aca="false">"[gr]"&amp;E534</f>
        <v>[gr]Tunesien</v>
      </c>
      <c r="L534" s="627" t="s">
        <v>652</v>
      </c>
      <c r="M534" s="557" t="str">
        <f aca="false">IF(L534=A534,"","nix")</f>
        <v/>
      </c>
    </row>
    <row r="535" customFormat="false" ht="15.75" hidden="false" customHeight="true" outlineLevel="0" collapsed="false">
      <c r="A535" s="625" t="s">
        <v>654</v>
      </c>
      <c r="B535" s="576" t="s">
        <v>3090</v>
      </c>
      <c r="C535" s="625" t="s">
        <v>3091</v>
      </c>
      <c r="D535" s="559" t="str">
        <f aca="false">A535&amp;" "&amp;HLOOKUP($C$1,$E$1:$X$4910,ROW(D535))</f>
        <v>TUR Turkey </v>
      </c>
      <c r="E535" s="555" t="s">
        <v>3092</v>
      </c>
      <c r="F535" s="556" t="s">
        <v>3093</v>
      </c>
      <c r="G535" s="555" t="s">
        <v>3094</v>
      </c>
      <c r="H535" s="555" t="s">
        <v>3095</v>
      </c>
      <c r="I535" s="555" t="s">
        <v>3096</v>
      </c>
      <c r="J535" s="556" t="str">
        <f aca="false">"[pt]"&amp;E535</f>
        <v>[pt]Türkei</v>
      </c>
      <c r="K535" s="556" t="str">
        <f aca="false">"[gr]"&amp;E535</f>
        <v>[gr]Türkei</v>
      </c>
      <c r="L535" s="627" t="s">
        <v>654</v>
      </c>
      <c r="M535" s="557" t="str">
        <f aca="false">IF(L535=A535,"","nix")</f>
        <v/>
      </c>
    </row>
    <row r="536" customFormat="false" ht="15.75" hidden="false" customHeight="true" outlineLevel="0" collapsed="false">
      <c r="A536" s="625" t="s">
        <v>656</v>
      </c>
      <c r="B536" s="576" t="s">
        <v>3097</v>
      </c>
      <c r="C536" s="625" t="s">
        <v>3098</v>
      </c>
      <c r="D536" s="559" t="str">
        <f aca="false">A536&amp;" "&amp;HLOOKUP($C$1,$E$1:$X$4910,ROW(D536))</f>
        <v>TUV Tuvalu </v>
      </c>
      <c r="E536" s="555" t="s">
        <v>655</v>
      </c>
      <c r="F536" s="556" t="s">
        <v>3099</v>
      </c>
      <c r="G536" s="555" t="s">
        <v>3099</v>
      </c>
      <c r="H536" s="555" t="s">
        <v>655</v>
      </c>
      <c r="I536" s="555" t="s">
        <v>655</v>
      </c>
      <c r="J536" s="556" t="str">
        <f aca="false">"[pt]"&amp;E536</f>
        <v>[pt]Tuvalu</v>
      </c>
      <c r="K536" s="556" t="str">
        <f aca="false">"[gr]"&amp;E536</f>
        <v>[gr]Tuvalu</v>
      </c>
      <c r="L536" s="627" t="s">
        <v>656</v>
      </c>
      <c r="M536" s="557" t="str">
        <f aca="false">IF(L536=A536,"","nix")</f>
        <v/>
      </c>
    </row>
    <row r="537" customFormat="false" ht="15.75" hidden="false" customHeight="true" outlineLevel="0" collapsed="false">
      <c r="A537" s="625" t="s">
        <v>658</v>
      </c>
      <c r="B537" s="576" t="s">
        <v>3100</v>
      </c>
      <c r="C537" s="625" t="s">
        <v>3101</v>
      </c>
      <c r="D537" s="559" t="str">
        <f aca="false">A537&amp;" "&amp;HLOOKUP($C$1,$E$1:$X$4910,ROW(D537))</f>
        <v>TZA Tanzania, United Republic of </v>
      </c>
      <c r="E537" s="555" t="s">
        <v>3102</v>
      </c>
      <c r="F537" s="556" t="s">
        <v>3103</v>
      </c>
      <c r="G537" s="555" t="s">
        <v>3104</v>
      </c>
      <c r="H537" s="555" t="s">
        <v>657</v>
      </c>
      <c r="I537" s="555" t="s">
        <v>3105</v>
      </c>
      <c r="J537" s="556" t="str">
        <f aca="false">"[pt]"&amp;E537</f>
        <v>[pt]Tansania, Vereinigte Republik</v>
      </c>
      <c r="K537" s="556" t="str">
        <f aca="false">"[gr]"&amp;E537</f>
        <v>[gr]Tansania, Vereinigte Republik</v>
      </c>
      <c r="L537" s="627" t="s">
        <v>658</v>
      </c>
      <c r="M537" s="557" t="str">
        <f aca="false">IF(L537=A537,"","nix")</f>
        <v/>
      </c>
    </row>
    <row r="538" customFormat="false" ht="15.75" hidden="false" customHeight="true" outlineLevel="0" collapsed="false">
      <c r="A538" s="625" t="s">
        <v>660</v>
      </c>
      <c r="B538" s="576" t="s">
        <v>3106</v>
      </c>
      <c r="C538" s="625" t="s">
        <v>3107</v>
      </c>
      <c r="D538" s="559" t="str">
        <f aca="false">A538&amp;" "&amp;HLOOKUP($C$1,$E$1:$X$4910,ROW(D538))</f>
        <v>UGA Uganda </v>
      </c>
      <c r="E538" s="555" t="s">
        <v>659</v>
      </c>
      <c r="F538" s="556" t="s">
        <v>3108</v>
      </c>
      <c r="G538" s="555" t="s">
        <v>3108</v>
      </c>
      <c r="H538" s="555" t="s">
        <v>659</v>
      </c>
      <c r="I538" s="555" t="s">
        <v>3109</v>
      </c>
      <c r="J538" s="556" t="str">
        <f aca="false">"[pt]"&amp;E538</f>
        <v>[pt]Uganda</v>
      </c>
      <c r="K538" s="556" t="str">
        <f aca="false">"[gr]"&amp;E538</f>
        <v>[gr]Uganda</v>
      </c>
      <c r="L538" s="627" t="s">
        <v>660</v>
      </c>
      <c r="M538" s="557" t="str">
        <f aca="false">IF(L538=A538,"","nix")</f>
        <v/>
      </c>
    </row>
    <row r="539" customFormat="false" ht="15.75" hidden="false" customHeight="true" outlineLevel="0" collapsed="false">
      <c r="A539" s="625" t="s">
        <v>662</v>
      </c>
      <c r="B539" s="576" t="s">
        <v>3110</v>
      </c>
      <c r="C539" s="625" t="s">
        <v>3111</v>
      </c>
      <c r="D539" s="559" t="str">
        <f aca="false">A539&amp;" "&amp;HLOOKUP($C$1,$E$1:$X$4910,ROW(D539))</f>
        <v>UKR Ukraine </v>
      </c>
      <c r="E539" s="555" t="s">
        <v>661</v>
      </c>
      <c r="F539" s="556" t="s">
        <v>3112</v>
      </c>
      <c r="G539" s="555" t="s">
        <v>3113</v>
      </c>
      <c r="H539" s="555" t="s">
        <v>3114</v>
      </c>
      <c r="I539" s="555" t="s">
        <v>661</v>
      </c>
      <c r="J539" s="556" t="str">
        <f aca="false">"[pt]"&amp;E539</f>
        <v>[pt]Ukraine</v>
      </c>
      <c r="K539" s="556" t="str">
        <f aca="false">"[gr]"&amp;E539</f>
        <v>[gr]Ukraine</v>
      </c>
      <c r="L539" s="627" t="s">
        <v>662</v>
      </c>
      <c r="M539" s="557" t="str">
        <f aca="false">IF(L539=A539,"","nix")</f>
        <v/>
      </c>
    </row>
    <row r="540" customFormat="false" ht="15.75" hidden="false" customHeight="true" outlineLevel="0" collapsed="false">
      <c r="A540" s="625" t="s">
        <v>664</v>
      </c>
      <c r="B540" s="576" t="s">
        <v>3115</v>
      </c>
      <c r="C540" s="625" t="s">
        <v>3116</v>
      </c>
      <c r="D540" s="559" t="str">
        <f aca="false">A540&amp;" "&amp;HLOOKUP($C$1,$E$1:$X$4910,ROW(D540))</f>
        <v>URY Uruguay </v>
      </c>
      <c r="E540" s="555" t="s">
        <v>663</v>
      </c>
      <c r="F540" s="556" t="s">
        <v>3117</v>
      </c>
      <c r="G540" s="555" t="s">
        <v>3117</v>
      </c>
      <c r="H540" s="555" t="s">
        <v>663</v>
      </c>
      <c r="I540" s="555" t="s">
        <v>663</v>
      </c>
      <c r="J540" s="556" t="str">
        <f aca="false">"[pt]"&amp;E540</f>
        <v>[pt]Uruguay</v>
      </c>
      <c r="K540" s="556" t="str">
        <f aca="false">"[gr]"&amp;E540</f>
        <v>[gr]Uruguay</v>
      </c>
      <c r="L540" s="627" t="s">
        <v>664</v>
      </c>
      <c r="M540" s="557" t="str">
        <f aca="false">IF(L540=A540,"","nix")</f>
        <v/>
      </c>
    </row>
    <row r="541" customFormat="false" ht="15.75" hidden="false" customHeight="true" outlineLevel="0" collapsed="false">
      <c r="A541" s="625" t="s">
        <v>666</v>
      </c>
      <c r="B541" s="576" t="s">
        <v>3118</v>
      </c>
      <c r="C541" s="625" t="s">
        <v>3119</v>
      </c>
      <c r="D541" s="559" t="str">
        <f aca="false">A541&amp;" "&amp;HLOOKUP($C$1,$E$1:$X$4910,ROW(D541))</f>
        <v>USA United States </v>
      </c>
      <c r="E541" s="555" t="s">
        <v>3120</v>
      </c>
      <c r="F541" s="556" t="s">
        <v>3121</v>
      </c>
      <c r="G541" s="555" t="s">
        <v>3122</v>
      </c>
      <c r="H541" s="555" t="s">
        <v>3123</v>
      </c>
      <c r="I541" s="555" t="s">
        <v>3124</v>
      </c>
      <c r="J541" s="556" t="str">
        <f aca="false">"[pt]"&amp;E541</f>
        <v>[pt]Vereinigte Staaten von Amerika</v>
      </c>
      <c r="K541" s="556" t="str">
        <f aca="false">"[gr]"&amp;E541</f>
        <v>[gr]Vereinigte Staaten von Amerika</v>
      </c>
      <c r="L541" s="627" t="s">
        <v>666</v>
      </c>
      <c r="M541" s="557" t="str">
        <f aca="false">IF(L541=A541,"","nix")</f>
        <v/>
      </c>
    </row>
    <row r="542" customFormat="false" ht="15.75" hidden="false" customHeight="true" outlineLevel="0" collapsed="false">
      <c r="A542" s="625" t="s">
        <v>668</v>
      </c>
      <c r="B542" s="576" t="s">
        <v>3125</v>
      </c>
      <c r="C542" s="625" t="s">
        <v>3126</v>
      </c>
      <c r="D542" s="559" t="str">
        <f aca="false">A542&amp;" "&amp;HLOOKUP($C$1,$E$1:$X$4910,ROW(D542))</f>
        <v>UZB Uzbekistan </v>
      </c>
      <c r="E542" s="555" t="s">
        <v>3127</v>
      </c>
      <c r="F542" s="556" t="s">
        <v>3128</v>
      </c>
      <c r="G542" s="555" t="s">
        <v>3128</v>
      </c>
      <c r="H542" s="555" t="s">
        <v>3129</v>
      </c>
      <c r="I542" s="555" t="s">
        <v>3130</v>
      </c>
      <c r="J542" s="556" t="str">
        <f aca="false">"[pt]"&amp;E542</f>
        <v>[pt]Usbekistan</v>
      </c>
      <c r="K542" s="556" t="str">
        <f aca="false">"[gr]"&amp;E542</f>
        <v>[gr]Usbekistan</v>
      </c>
      <c r="L542" s="627" t="s">
        <v>668</v>
      </c>
      <c r="M542" s="557" t="str">
        <f aca="false">IF(L542=A542,"","nix")</f>
        <v/>
      </c>
    </row>
    <row r="543" customFormat="false" ht="15.75" hidden="false" customHeight="true" outlineLevel="0" collapsed="false">
      <c r="A543" s="625" t="s">
        <v>670</v>
      </c>
      <c r="B543" s="576" t="s">
        <v>3131</v>
      </c>
      <c r="C543" s="625" t="s">
        <v>3132</v>
      </c>
      <c r="D543" s="559" t="str">
        <f aca="false">A543&amp;" "&amp;HLOOKUP($C$1,$E$1:$X$4910,ROW(D543))</f>
        <v>VCT Saint Vincent and the Grenadines </v>
      </c>
      <c r="E543" s="555" t="s">
        <v>3133</v>
      </c>
      <c r="F543" s="556" t="s">
        <v>3134</v>
      </c>
      <c r="G543" s="555" t="s">
        <v>3135</v>
      </c>
      <c r="H543" s="555" t="s">
        <v>3136</v>
      </c>
      <c r="I543" s="555" t="s">
        <v>3137</v>
      </c>
      <c r="J543" s="556" t="str">
        <f aca="false">"[pt]"&amp;E543</f>
        <v>[pt]St. Vincent und die Grenadinen</v>
      </c>
      <c r="K543" s="556" t="str">
        <f aca="false">"[gr]"&amp;E543</f>
        <v>[gr]St. Vincent und die Grenadinen</v>
      </c>
      <c r="L543" s="627" t="s">
        <v>670</v>
      </c>
      <c r="M543" s="557" t="str">
        <f aca="false">IF(L543=A543,"","nix")</f>
        <v/>
      </c>
    </row>
    <row r="544" customFormat="false" ht="15.75" hidden="false" customHeight="true" outlineLevel="0" collapsed="false">
      <c r="A544" s="625" t="s">
        <v>672</v>
      </c>
      <c r="B544" s="576" t="s">
        <v>3138</v>
      </c>
      <c r="C544" s="625" t="s">
        <v>3139</v>
      </c>
      <c r="D544" s="559" t="str">
        <f aca="false">A544&amp;" "&amp;HLOOKUP($C$1,$E$1:$X$4910,ROW(D544))</f>
        <v>VEN Venezuela, Bolivarian Republic of </v>
      </c>
      <c r="E544" s="555" t="s">
        <v>3140</v>
      </c>
      <c r="F544" s="556" t="s">
        <v>3141</v>
      </c>
      <c r="G544" s="555" t="s">
        <v>3142</v>
      </c>
      <c r="H544" s="555" t="s">
        <v>3140</v>
      </c>
      <c r="I544" s="555" t="s">
        <v>3143</v>
      </c>
      <c r="J544" s="556" t="str">
        <f aca="false">"[pt]"&amp;E544</f>
        <v>[pt]Venezuela</v>
      </c>
      <c r="K544" s="556" t="str">
        <f aca="false">"[gr]"&amp;E544</f>
        <v>[gr]Venezuela</v>
      </c>
      <c r="L544" s="627" t="s">
        <v>672</v>
      </c>
      <c r="M544" s="557" t="str">
        <f aca="false">IF(L544=A544,"","nix")</f>
        <v/>
      </c>
    </row>
    <row r="545" customFormat="false" ht="15.75" hidden="false" customHeight="true" outlineLevel="0" collapsed="false">
      <c r="A545" s="625" t="s">
        <v>674</v>
      </c>
      <c r="B545" s="576" t="s">
        <v>3144</v>
      </c>
      <c r="C545" s="625" t="s">
        <v>3145</v>
      </c>
      <c r="D545" s="559" t="str">
        <f aca="false">A545&amp;" "&amp;HLOOKUP($C$1,$E$1:$X$4910,ROW(D545))</f>
        <v>VGB Virgin Islands, British </v>
      </c>
      <c r="E545" s="555" t="s">
        <v>3146</v>
      </c>
      <c r="F545" s="556" t="s">
        <v>3147</v>
      </c>
      <c r="G545" s="555" t="s">
        <v>3148</v>
      </c>
      <c r="H545" s="555" t="s">
        <v>3149</v>
      </c>
      <c r="I545" s="555" t="s">
        <v>3150</v>
      </c>
      <c r="J545" s="556" t="str">
        <f aca="false">"[pt]"&amp;E545</f>
        <v>[pt]Britische Jungferninseln</v>
      </c>
      <c r="K545" s="556" t="str">
        <f aca="false">"[gr]"&amp;E545</f>
        <v>[gr]Britische Jungferninseln</v>
      </c>
      <c r="L545" s="627" t="s">
        <v>674</v>
      </c>
      <c r="M545" s="557" t="str">
        <f aca="false">IF(L545=A545,"","nix")</f>
        <v/>
      </c>
    </row>
    <row r="546" customFormat="false" ht="15.75" hidden="false" customHeight="true" outlineLevel="0" collapsed="false">
      <c r="A546" s="625" t="s">
        <v>676</v>
      </c>
      <c r="B546" s="576" t="s">
        <v>3151</v>
      </c>
      <c r="C546" s="625" t="s">
        <v>3152</v>
      </c>
      <c r="D546" s="559" t="str">
        <f aca="false">A546&amp;" "&amp;HLOOKUP($C$1,$E$1:$X$4910,ROW(D546))</f>
        <v>VIR Virgin Islands, U.S. </v>
      </c>
      <c r="E546" s="555" t="s">
        <v>3153</v>
      </c>
      <c r="F546" s="556" t="s">
        <v>3154</v>
      </c>
      <c r="G546" s="555" t="s">
        <v>3155</v>
      </c>
      <c r="H546" s="555" t="s">
        <v>3156</v>
      </c>
      <c r="I546" s="555" t="s">
        <v>3157</v>
      </c>
      <c r="J546" s="556" t="str">
        <f aca="false">"[pt]"&amp;E546</f>
        <v>[pt]Amerikanische Jungferninseln</v>
      </c>
      <c r="K546" s="556" t="str">
        <f aca="false">"[gr]"&amp;E546</f>
        <v>[gr]Amerikanische Jungferninseln</v>
      </c>
      <c r="L546" s="627" t="s">
        <v>676</v>
      </c>
      <c r="M546" s="557" t="str">
        <f aca="false">IF(L546=A546,"","nix")</f>
        <v/>
      </c>
    </row>
    <row r="547" customFormat="false" ht="15.75" hidden="false" customHeight="true" outlineLevel="0" collapsed="false">
      <c r="A547" s="625" t="s">
        <v>678</v>
      </c>
      <c r="B547" s="576" t="s">
        <v>3158</v>
      </c>
      <c r="C547" s="625" t="s">
        <v>3159</v>
      </c>
      <c r="D547" s="559" t="str">
        <f aca="false">A547&amp;" "&amp;HLOOKUP($C$1,$E$1:$X$4910,ROW(D547))</f>
        <v>VNM Viet Nam </v>
      </c>
      <c r="E547" s="555" t="s">
        <v>677</v>
      </c>
      <c r="F547" s="556" t="s">
        <v>3160</v>
      </c>
      <c r="G547" s="555" t="s">
        <v>3161</v>
      </c>
      <c r="H547" s="555" t="s">
        <v>677</v>
      </c>
      <c r="I547" s="555" t="s">
        <v>677</v>
      </c>
      <c r="J547" s="556" t="str">
        <f aca="false">"[pt]"&amp;E547</f>
        <v>[pt]Vietnam</v>
      </c>
      <c r="K547" s="556" t="str">
        <f aca="false">"[gr]"&amp;E547</f>
        <v>[gr]Vietnam</v>
      </c>
      <c r="L547" s="627" t="s">
        <v>678</v>
      </c>
      <c r="M547" s="557" t="str">
        <f aca="false">IF(L547=A547,"","nix")</f>
        <v/>
      </c>
    </row>
    <row r="548" customFormat="false" ht="15.75" hidden="false" customHeight="true" outlineLevel="0" collapsed="false">
      <c r="A548" s="625" t="s">
        <v>680</v>
      </c>
      <c r="B548" s="576" t="s">
        <v>3162</v>
      </c>
      <c r="C548" s="625" t="s">
        <v>3163</v>
      </c>
      <c r="D548" s="559" t="str">
        <f aca="false">A548&amp;" "&amp;HLOOKUP($C$1,$E$1:$X$4910,ROW(D548))</f>
        <v>VUT Vanuatu </v>
      </c>
      <c r="E548" s="555" t="s">
        <v>679</v>
      </c>
      <c r="F548" s="556" t="s">
        <v>3164</v>
      </c>
      <c r="G548" s="555" t="s">
        <v>3164</v>
      </c>
      <c r="H548" s="555" t="s">
        <v>679</v>
      </c>
      <c r="I548" s="555" t="s">
        <v>679</v>
      </c>
      <c r="J548" s="556" t="str">
        <f aca="false">"[pt]"&amp;E548</f>
        <v>[pt]Vanuatu</v>
      </c>
      <c r="K548" s="556" t="str">
        <f aca="false">"[gr]"&amp;E548</f>
        <v>[gr]Vanuatu</v>
      </c>
      <c r="L548" s="627" t="s">
        <v>680</v>
      </c>
      <c r="M548" s="557" t="str">
        <f aca="false">IF(L548=A548,"","nix")</f>
        <v/>
      </c>
    </row>
    <row r="549" customFormat="false" ht="15.75" hidden="false" customHeight="true" outlineLevel="0" collapsed="false">
      <c r="A549" s="625" t="s">
        <v>682</v>
      </c>
      <c r="B549" s="576" t="s">
        <v>3165</v>
      </c>
      <c r="C549" s="625" t="s">
        <v>3166</v>
      </c>
      <c r="D549" s="559" t="str">
        <f aca="false">A549&amp;" "&amp;HLOOKUP($C$1,$E$1:$X$4910,ROW(D549))</f>
        <v>WSM Samoa </v>
      </c>
      <c r="E549" s="555" t="s">
        <v>681</v>
      </c>
      <c r="F549" s="556" t="s">
        <v>3167</v>
      </c>
      <c r="G549" s="555" t="s">
        <v>3167</v>
      </c>
      <c r="H549" s="555" t="s">
        <v>681</v>
      </c>
      <c r="I549" s="555" t="s">
        <v>681</v>
      </c>
      <c r="J549" s="556" t="str">
        <f aca="false">"[pt]"&amp;E549</f>
        <v>[pt]Samoa</v>
      </c>
      <c r="K549" s="556" t="str">
        <f aca="false">"[gr]"&amp;E549</f>
        <v>[gr]Samoa</v>
      </c>
      <c r="L549" s="627" t="s">
        <v>682</v>
      </c>
      <c r="M549" s="557" t="str">
        <f aca="false">IF(L549=A549,"","nix")</f>
        <v/>
      </c>
    </row>
    <row r="550" customFormat="false" ht="15.75" hidden="false" customHeight="true" outlineLevel="0" collapsed="false">
      <c r="A550" s="576" t="s">
        <v>684</v>
      </c>
      <c r="B550" s="576"/>
      <c r="C550" s="576" t="s">
        <v>3168</v>
      </c>
      <c r="D550" s="559" t="str">
        <f aca="false">A550&amp;" "&amp;HLOOKUP($C$1,$E$1:$X$4910,ROW(D550))</f>
        <v>XKX Kosovo</v>
      </c>
      <c r="E550" s="555" t="s">
        <v>683</v>
      </c>
      <c r="F550" s="556" t="s">
        <v>683</v>
      </c>
      <c r="G550" s="555" t="s">
        <v>683</v>
      </c>
      <c r="H550" s="555" t="s">
        <v>683</v>
      </c>
      <c r="I550" s="555" t="s">
        <v>683</v>
      </c>
      <c r="J550" s="556" t="str">
        <f aca="false">"[pt]"&amp;E550</f>
        <v>[pt]Kosovo</v>
      </c>
      <c r="K550" s="556" t="str">
        <f aca="false">"[gr]"&amp;E550</f>
        <v>[gr]Kosovo</v>
      </c>
      <c r="L550" s="627" t="s">
        <v>684</v>
      </c>
      <c r="M550" s="557" t="str">
        <f aca="false">IF(L550=A550,"","nix")</f>
        <v/>
      </c>
    </row>
    <row r="551" customFormat="false" ht="15.75" hidden="false" customHeight="true" outlineLevel="0" collapsed="false">
      <c r="A551" s="625" t="s">
        <v>686</v>
      </c>
      <c r="B551" s="576" t="s">
        <v>3169</v>
      </c>
      <c r="C551" s="625" t="s">
        <v>3170</v>
      </c>
      <c r="D551" s="559" t="str">
        <f aca="false">A551&amp;" "&amp;HLOOKUP($C$1,$E$1:$X$4910,ROW(D551))</f>
        <v>YEM Yemen </v>
      </c>
      <c r="E551" s="555" t="s">
        <v>3171</v>
      </c>
      <c r="F551" s="556" t="s">
        <v>3172</v>
      </c>
      <c r="G551" s="555" t="s">
        <v>3172</v>
      </c>
      <c r="H551" s="555" t="s">
        <v>3173</v>
      </c>
      <c r="I551" s="555" t="s">
        <v>3173</v>
      </c>
      <c r="J551" s="556" t="str">
        <f aca="false">"[pt]"&amp;E551</f>
        <v>[pt]Jemen</v>
      </c>
      <c r="K551" s="556" t="str">
        <f aca="false">"[gr]"&amp;E551</f>
        <v>[gr]Jemen</v>
      </c>
      <c r="L551" s="627" t="s">
        <v>686</v>
      </c>
      <c r="M551" s="557" t="str">
        <f aca="false">IF(L551=A551,"","nix")</f>
        <v/>
      </c>
    </row>
    <row r="552" customFormat="false" ht="15.75" hidden="false" customHeight="true" outlineLevel="0" collapsed="false">
      <c r="A552" s="625" t="s">
        <v>688</v>
      </c>
      <c r="B552" s="576" t="s">
        <v>3174</v>
      </c>
      <c r="C552" s="625" t="s">
        <v>3175</v>
      </c>
      <c r="D552" s="559" t="str">
        <f aca="false">A552&amp;" "&amp;HLOOKUP($C$1,$E$1:$X$4910,ROW(D552))</f>
        <v>ZAF South Africa </v>
      </c>
      <c r="E552" s="555" t="s">
        <v>3176</v>
      </c>
      <c r="F552" s="556" t="s">
        <v>3177</v>
      </c>
      <c r="G552" s="555" t="s">
        <v>3178</v>
      </c>
      <c r="H552" s="555" t="s">
        <v>3179</v>
      </c>
      <c r="I552" s="555" t="s">
        <v>3180</v>
      </c>
      <c r="J552" s="556" t="str">
        <f aca="false">"[pt]"&amp;E552</f>
        <v>[pt]Südafrika</v>
      </c>
      <c r="K552" s="556" t="str">
        <f aca="false">"[gr]"&amp;E552</f>
        <v>[gr]Südafrika</v>
      </c>
      <c r="L552" s="627" t="s">
        <v>688</v>
      </c>
      <c r="M552" s="557" t="str">
        <f aca="false">IF(L552=A552,"","nix")</f>
        <v/>
      </c>
    </row>
    <row r="553" customFormat="false" ht="15.75" hidden="false" customHeight="true" outlineLevel="0" collapsed="false">
      <c r="A553" s="625" t="s">
        <v>690</v>
      </c>
      <c r="B553" s="576" t="s">
        <v>3181</v>
      </c>
      <c r="C553" s="625" t="s">
        <v>3182</v>
      </c>
      <c r="D553" s="559" t="str">
        <f aca="false">A553&amp;" "&amp;HLOOKUP($C$1,$E$1:$X$4910,ROW(D553))</f>
        <v>ZMB Zambia </v>
      </c>
      <c r="E553" s="555" t="s">
        <v>3183</v>
      </c>
      <c r="F553" s="556" t="s">
        <v>3184</v>
      </c>
      <c r="G553" s="555" t="s">
        <v>3184</v>
      </c>
      <c r="H553" s="555" t="s">
        <v>689</v>
      </c>
      <c r="I553" s="555" t="s">
        <v>3185</v>
      </c>
      <c r="J553" s="556" t="str">
        <f aca="false">"[pt]"&amp;E553</f>
        <v>[pt]Sambia</v>
      </c>
      <c r="K553" s="556" t="str">
        <f aca="false">"[gr]"&amp;E553</f>
        <v>[gr]Sambia</v>
      </c>
      <c r="L553" s="627" t="s">
        <v>690</v>
      </c>
      <c r="M553" s="557" t="str">
        <f aca="false">IF(L553=A553,"","nix")</f>
        <v/>
      </c>
    </row>
    <row r="554" customFormat="false" ht="15.75" hidden="false" customHeight="true" outlineLevel="0" collapsed="false">
      <c r="A554" s="625" t="s">
        <v>692</v>
      </c>
      <c r="B554" s="576" t="s">
        <v>3186</v>
      </c>
      <c r="C554" s="625" t="s">
        <v>3187</v>
      </c>
      <c r="D554" s="559" t="str">
        <f aca="false">A554&amp;" "&amp;HLOOKUP($C$1,$E$1:$X$4910,ROW(D554))</f>
        <v>ZWE Zimbabwe </v>
      </c>
      <c r="E554" s="555" t="s">
        <v>3188</v>
      </c>
      <c r="F554" s="556" t="s">
        <v>3189</v>
      </c>
      <c r="G554" s="555" t="s">
        <v>3189</v>
      </c>
      <c r="H554" s="555" t="s">
        <v>3190</v>
      </c>
      <c r="I554" s="555" t="s">
        <v>691</v>
      </c>
      <c r="J554" s="556" t="str">
        <f aca="false">"[pt]"&amp;E554</f>
        <v>[pt]Simbabwe</v>
      </c>
      <c r="K554" s="556" t="str">
        <f aca="false">"[gr]"&amp;E554</f>
        <v>[gr]Simbabwe</v>
      </c>
      <c r="L554" s="627" t="s">
        <v>692</v>
      </c>
      <c r="M554" s="557" t="str">
        <f aca="false">IF(L554=A554,"","nix")</f>
        <v/>
      </c>
    </row>
    <row r="555" customFormat="false" ht="14.1" hidden="false" customHeight="true" outlineLevel="0" collapsed="false">
      <c r="D555" s="559" t="str">
        <f aca="false">HLOOKUP($C$1,$E$1:$X$4910,ROW(D555))</f>
        <v>Average Africa</v>
      </c>
      <c r="E555" s="555" t="s">
        <v>3191</v>
      </c>
      <c r="F555" s="556" t="s">
        <v>3192</v>
      </c>
      <c r="G555" s="555" t="s">
        <v>693</v>
      </c>
      <c r="H555" s="555" t="s">
        <v>3193</v>
      </c>
      <c r="J555" s="555" t="str">
        <f aca="false">"[pt]"&amp;E555</f>
        <v>[pt]Durchschnitt Afrika</v>
      </c>
      <c r="K555" s="555" t="str">
        <f aca="false">"[gr]"&amp;E555</f>
        <v>[gr]Durchschnitt Afrika</v>
      </c>
      <c r="L555" s="627" t="s">
        <v>693</v>
      </c>
      <c r="M555" s="557" t="str">
        <f aca="false">IF(L555=A555,"","nix")</f>
        <v>nix</v>
      </c>
    </row>
    <row r="556" customFormat="false" ht="14.1" hidden="false" customHeight="true" outlineLevel="0" collapsed="false">
      <c r="D556" s="559" t="str">
        <f aca="false">HLOOKUP($C$1,$E$1:$X$4910,ROW(D556))</f>
        <v>Average Americas</v>
      </c>
      <c r="E556" s="555" t="s">
        <v>3194</v>
      </c>
      <c r="F556" s="556" t="s">
        <v>3195</v>
      </c>
      <c r="G556" s="555" t="s">
        <v>694</v>
      </c>
      <c r="H556" s="555" t="s">
        <v>3196</v>
      </c>
      <c r="J556" s="555" t="str">
        <f aca="false">"[pt]"&amp;E556</f>
        <v>[pt]Durchschnitt Amerika</v>
      </c>
      <c r="K556" s="555" t="str">
        <f aca="false">"[gr]"&amp;E556</f>
        <v>[gr]Durchschnitt Amerika</v>
      </c>
      <c r="L556" s="627" t="s">
        <v>694</v>
      </c>
      <c r="M556" s="557" t="str">
        <f aca="false">IF(L556=A556,"","nix")</f>
        <v>nix</v>
      </c>
    </row>
    <row r="557" customFormat="false" ht="14.1" hidden="false" customHeight="true" outlineLevel="0" collapsed="false">
      <c r="D557" s="559" t="str">
        <f aca="false">HLOOKUP($C$1,$E$1:$X$4910,ROW(D557))</f>
        <v>Average Asia</v>
      </c>
      <c r="E557" s="555" t="s">
        <v>3197</v>
      </c>
      <c r="F557" s="556" t="s">
        <v>3198</v>
      </c>
      <c r="G557" s="555" t="s">
        <v>695</v>
      </c>
      <c r="H557" s="555" t="s">
        <v>3199</v>
      </c>
      <c r="J557" s="555" t="str">
        <f aca="false">"[pt]"&amp;E557</f>
        <v>[pt]Durchschnitt Asien</v>
      </c>
      <c r="K557" s="555" t="str">
        <f aca="false">"[gr]"&amp;E557</f>
        <v>[gr]Durchschnitt Asien</v>
      </c>
      <c r="L557" s="627" t="s">
        <v>695</v>
      </c>
      <c r="M557" s="557" t="str">
        <f aca="false">IF(L557=A557,"","nix")</f>
        <v>nix</v>
      </c>
    </row>
    <row r="558" customFormat="false" ht="14.1" hidden="false" customHeight="true" outlineLevel="0" collapsed="false">
      <c r="D558" s="559" t="str">
        <f aca="false">HLOOKUP($C$1,$E$1:$X$4910,ROW(D558))</f>
        <v>Average Europe</v>
      </c>
      <c r="E558" s="555" t="s">
        <v>3200</v>
      </c>
      <c r="F558" s="556" t="s">
        <v>3201</v>
      </c>
      <c r="G558" s="555" t="s">
        <v>696</v>
      </c>
      <c r="H558" s="555" t="s">
        <v>3202</v>
      </c>
      <c r="J558" s="555" t="str">
        <f aca="false">"[pt]"&amp;E558</f>
        <v>[pt]Durchschnitt Europa</v>
      </c>
      <c r="K558" s="555" t="str">
        <f aca="false">"[gr]"&amp;E558</f>
        <v>[gr]Durchschnitt Europa</v>
      </c>
      <c r="L558" s="627" t="s">
        <v>696</v>
      </c>
      <c r="M558" s="557" t="str">
        <f aca="false">IF(L558=A558,"","nix")</f>
        <v>nix</v>
      </c>
    </row>
    <row r="559" customFormat="false" ht="14.1" hidden="false" customHeight="true" outlineLevel="0" collapsed="false">
      <c r="D559" s="559" t="str">
        <f aca="false">HLOOKUP($C$1,$E$1:$X$4910,ROW(D559))</f>
        <v>Average Oceania</v>
      </c>
      <c r="E559" s="555" t="s">
        <v>3203</v>
      </c>
      <c r="F559" s="556" t="s">
        <v>3204</v>
      </c>
      <c r="G559" s="555" t="s">
        <v>697</v>
      </c>
      <c r="H559" s="555" t="s">
        <v>3205</v>
      </c>
      <c r="J559" s="555" t="str">
        <f aca="false">"[pt]"&amp;E559</f>
        <v>[pt]Durchschnitt Ozeanien</v>
      </c>
      <c r="K559" s="555" t="str">
        <f aca="false">"[gr]"&amp;E559</f>
        <v>[gr]Durchschnitt Ozeanien</v>
      </c>
      <c r="L559" s="627" t="s">
        <v>697</v>
      </c>
      <c r="M559" s="557" t="str">
        <f aca="false">IF(L559=A559,"","nix")</f>
        <v>nix</v>
      </c>
    </row>
    <row r="560" customFormat="false" ht="14.1" hidden="false" customHeight="true" outlineLevel="0" collapsed="false">
      <c r="D560" s="559" t="n">
        <f aca="false">HLOOKUP($C$1,$E$1:$X$4910,ROW(D560))</f>
        <v>0</v>
      </c>
      <c r="E560" s="555" t="s">
        <v>3206</v>
      </c>
      <c r="F560" s="556" t="s">
        <v>3207</v>
      </c>
      <c r="H560" s="555" t="s">
        <v>3208</v>
      </c>
      <c r="J560" s="555" t="str">
        <f aca="false">"[pt]"&amp;E560</f>
        <v>[pt]Durchschnitt Welt</v>
      </c>
      <c r="K560" s="555" t="str">
        <f aca="false">"[gr]"&amp;E560</f>
        <v>[gr]Durchschnitt Welt</v>
      </c>
      <c r="L560" s="629" t="s">
        <v>698</v>
      </c>
      <c r="M560" s="557" t="str">
        <f aca="false">IF(L560=A560,"","nix")</f>
        <v>nix</v>
      </c>
    </row>
    <row r="561" customFormat="false" ht="14.1" hidden="false" customHeight="true" outlineLevel="0" collapsed="false">
      <c r="D561" s="559" t="n">
        <f aca="false">HLOOKUP($C$1,$E$1:$X$4910,ROW(D561))</f>
        <v>0</v>
      </c>
      <c r="E561" s="555" t="s">
        <v>1888</v>
      </c>
      <c r="F561" s="556" t="s">
        <v>3209</v>
      </c>
      <c r="H561" s="555" t="s">
        <v>3210</v>
      </c>
      <c r="M561" s="557" t="str">
        <f aca="false">IF(L561=A561,"","nix")</f>
        <v/>
      </c>
    </row>
    <row r="65535" customFormat="false" ht="12.75" hidden="false" customHeight="true" outlineLevel="0" collapsed="false"/>
    <row r="65536" customFormat="false" ht="12.75" hidden="false" customHeight="true" outlineLevel="0" collapsed="false"/>
  </sheetData>
  <sheetProtection algorithmName="SHA-512" hashValue="u6C5OCaLh7x6ql2twGf8L6FwnxQIqIWHZUQNDgtTF5pszTXR/zHZFdKuTncyGHyW25EbFa/5Lz0l9Zu6b19YIQ==" saltValue="A/hjdZOjFsKWh8njAPRYQg==" spinCount="100000" sheet="true" selectLockedCells="true" selectUnlockedCells="true"/>
  <hyperlinks>
    <hyperlink ref="F55" r:id="rId1" display="Domande per il bilancio: info@economia-del-ben-comune.it (consulenti EBC)"/>
    <hyperlink ref="H55" r:id="rId2" display="Preguntas sobre como elaborar el balance del Bien Común: nodo-empresas@economia-del-bien-comun.es"/>
    <hyperlink ref="F56" r:id="rId3" display="Domande per l'audit: audit@febc.eu (Verificatori/auditori EBC)"/>
    <hyperlink ref="H56" r:id="rId4" display="Preguntas sobre la auditoría: nodo-empresas@economia-del-bien-comun.es"/>
    <hyperlink ref="G57" r:id="rId5" display="Feedback on the development of the Matrix: bilanz@ecogood.org (Matrix Development Team)"/>
    <hyperlink ref="H57" r:id="rId6" display="Desarrollo de la matriz: bilanz@ecogood.org (Equipo de desarrollo de la matriz EBC)"/>
    <hyperlink ref="E58" r:id="rId7" display="Excel-Programmierung: Christian Loy (christian.loy@gmx.at); Christian Kozina; Multilanguage-tool: Bernhard Oberrauch"/>
    <hyperlink ref="G58" r:id="rId8" display="Excel programming: Christian Loy (christian.loy@gmx.at); Christian Kozina; Multilanguage tool: Bernhard Oberrauch"/>
    <hyperlink ref="H58" r:id="rId9" display="Programación en Excel: Christian Loy (christian.loy@gmx.at);Christian Kozina; Multilanguage-tool: Bernhard Oberrauch"/>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10.72265625" defaultRowHeight="12.75" zeroHeight="false" outlineLevelRow="0" outlineLevelCol="0"/>
  <cols>
    <col collapsed="false" customWidth="true" hidden="false" outlineLevel="0" max="1" min="1" style="27" width="2.71"/>
    <col collapsed="false" customWidth="true" hidden="false" outlineLevel="0" max="2" min="2" style="27" width="29.29"/>
    <col collapsed="false" customWidth="true" hidden="false" outlineLevel="0" max="3" min="3" style="28" width="54.86"/>
    <col collapsed="false" customWidth="false" hidden="false" outlineLevel="0" max="1024" min="4" style="27" width="10.71"/>
  </cols>
  <sheetData>
    <row r="1" customFormat="false" ht="12.75" hidden="false" customHeight="true" outlineLevel="0" collapsed="false">
      <c r="A1" s="29"/>
      <c r="B1" s="30"/>
      <c r="C1" s="31"/>
    </row>
    <row r="2" customFormat="false" ht="12.75" hidden="false" customHeight="true" outlineLevel="0" collapsed="false">
      <c r="A2" s="29"/>
      <c r="B2" s="32" t="str">
        <f aca="false">'12.lan'!D91&amp;" - "&amp;'0. Intro'!B3&amp;" "&amp;'0. Intro'!C3</f>
        <v>Common Good Balance Calculator - Version 5.04</v>
      </c>
      <c r="C2" s="32"/>
    </row>
    <row r="3" customFormat="false" ht="18" hidden="false" customHeight="true" outlineLevel="0" collapsed="false">
      <c r="A3" s="29"/>
      <c r="B3" s="33" t="str">
        <f aca="false">'12.lan'!D62</f>
        <v>GENERAL INFORMATION ABOUT THE COMPANY</v>
      </c>
      <c r="C3" s="33"/>
    </row>
    <row r="4" customFormat="false" ht="22.5" hidden="false" customHeight="true" outlineLevel="0" collapsed="false">
      <c r="A4" s="29"/>
      <c r="B4" s="34" t="str">
        <f aca="false">'12.lan'!D63</f>
        <v>Please complete all fields.</v>
      </c>
      <c r="C4" s="35"/>
    </row>
    <row r="5" customFormat="false" ht="12.75" hidden="false" customHeight="true" outlineLevel="0" collapsed="false">
      <c r="A5" s="29"/>
      <c r="B5" s="30"/>
      <c r="C5" s="31"/>
    </row>
    <row r="6" customFormat="false" ht="19.5" hidden="false" customHeight="true" outlineLevel="0" collapsed="false">
      <c r="A6" s="29"/>
      <c r="B6" s="36" t="str">
        <f aca="false">'12.lan'!D64</f>
        <v>Name of Company / Organisation:</v>
      </c>
      <c r="C6" s="37" t="s">
        <v>7</v>
      </c>
    </row>
    <row r="7" customFormat="false" ht="19.5" hidden="false" customHeight="true" outlineLevel="0" collapsed="false">
      <c r="A7" s="29"/>
      <c r="B7" s="38" t="str">
        <f aca="false">'12.lan'!D65</f>
        <v>Address:</v>
      </c>
      <c r="C7" s="37" t="s">
        <v>8</v>
      </c>
    </row>
    <row r="8" customFormat="false" ht="19.5" hidden="false" customHeight="true" outlineLevel="0" collapsed="false">
      <c r="A8" s="29"/>
      <c r="B8" s="38" t="str">
        <f aca="false">'12.lan'!D66</f>
        <v>Country:</v>
      </c>
      <c r="C8" s="37" t="s">
        <v>9</v>
      </c>
    </row>
    <row r="9" customFormat="false" ht="19.5" hidden="false" customHeight="true" outlineLevel="0" collapsed="false">
      <c r="A9" s="29"/>
      <c r="B9" s="38" t="str">
        <f aca="false">'12.lan'!D67</f>
        <v>Industry sector:</v>
      </c>
      <c r="C9" s="37" t="s">
        <v>10</v>
      </c>
    </row>
    <row r="10" customFormat="false" ht="19.5" hidden="false" customHeight="true" outlineLevel="0" collapsed="false">
      <c r="A10" s="29"/>
      <c r="B10" s="38" t="str">
        <f aca="false">'12.lan'!D68</f>
        <v>Website:</v>
      </c>
      <c r="C10" s="39" t="s">
        <v>11</v>
      </c>
    </row>
    <row r="11" customFormat="false" ht="9.75" hidden="false" customHeight="true" outlineLevel="0" collapsed="false">
      <c r="A11" s="29"/>
      <c r="B11" s="40"/>
      <c r="C11" s="41"/>
    </row>
    <row r="12" customFormat="false" ht="19.5" hidden="false" customHeight="true" outlineLevel="0" collapsed="false">
      <c r="A12" s="29"/>
      <c r="B12" s="38" t="str">
        <f aca="false">'12.lan'!D83</f>
        <v>Period under review</v>
      </c>
      <c r="C12" s="37"/>
    </row>
    <row r="13" customFormat="false" ht="9.75" hidden="false" customHeight="true" outlineLevel="0" collapsed="false">
      <c r="A13" s="29"/>
      <c r="B13" s="42"/>
      <c r="C13" s="43"/>
    </row>
    <row r="14" customFormat="false" ht="19.5" hidden="false" customHeight="true" outlineLevel="0" collapsed="false">
      <c r="A14" s="29"/>
      <c r="B14" s="36" t="str">
        <f aca="false">'12.lan'!D73</f>
        <v>Document created by:</v>
      </c>
      <c r="C14" s="37" t="s">
        <v>12</v>
      </c>
    </row>
    <row r="15" customFormat="false" ht="19.5" hidden="false" customHeight="true" outlineLevel="0" collapsed="false">
      <c r="A15" s="29"/>
      <c r="B15" s="38" t="str">
        <f aca="false">'12.lan'!D74</f>
        <v>Email address:</v>
      </c>
      <c r="C15" s="37" t="s">
        <v>13</v>
      </c>
    </row>
    <row r="16" customFormat="false" ht="19.5" hidden="false" customHeight="true" outlineLevel="0" collapsed="false">
      <c r="A16" s="29"/>
      <c r="B16" s="38" t="str">
        <f aca="false">'12.lan'!D75</f>
        <v>Phone number:</v>
      </c>
      <c r="C16" s="37"/>
    </row>
    <row r="17" customFormat="false" ht="9.75" hidden="false" customHeight="true" outlineLevel="0" collapsed="false">
      <c r="A17" s="29"/>
      <c r="B17" s="42"/>
      <c r="C17" s="44"/>
    </row>
    <row r="18" customFormat="false" ht="19.5" hidden="false" customHeight="true" outlineLevel="0" collapsed="false">
      <c r="A18" s="29"/>
      <c r="B18" s="36" t="str">
        <f aca="false">'12.lan'!D76</f>
        <v>Consultant:</v>
      </c>
      <c r="C18" s="37"/>
    </row>
    <row r="19" customFormat="false" ht="19.5" hidden="false" customHeight="true" outlineLevel="0" collapsed="false">
      <c r="A19" s="29"/>
      <c r="B19" s="38" t="str">
        <f aca="false">'12.lan'!D74</f>
        <v>Email address:</v>
      </c>
      <c r="C19" s="37"/>
    </row>
    <row r="20" customFormat="false" ht="19.5" hidden="false" customHeight="true" outlineLevel="0" collapsed="false">
      <c r="A20" s="29"/>
      <c r="B20" s="38" t="str">
        <f aca="false">'12.lan'!D75</f>
        <v>Phone number:</v>
      </c>
      <c r="C20" s="37"/>
    </row>
    <row r="21" customFormat="false" ht="9.75" hidden="false" customHeight="true" outlineLevel="0" collapsed="false">
      <c r="A21" s="29"/>
      <c r="B21" s="42"/>
      <c r="C21" s="44"/>
    </row>
    <row r="22" customFormat="false" ht="64.5" hidden="false" customHeight="true" outlineLevel="0" collapsed="false">
      <c r="A22" s="29"/>
      <c r="B22" s="45" t="str">
        <f aca="false">'12.lan'!D79</f>
        <v>Short description of Company / Organisation</v>
      </c>
      <c r="C22" s="37" t="s">
        <v>14</v>
      </c>
    </row>
    <row r="23" customFormat="false" ht="9.75" hidden="false" customHeight="true" outlineLevel="0" collapsed="false">
      <c r="A23" s="29"/>
      <c r="B23" s="46"/>
      <c r="C23" s="47"/>
    </row>
    <row r="24" customFormat="false" ht="64.5" hidden="false" customHeight="true" outlineLevel="0" collapsed="false">
      <c r="B24" s="48" t="str">
        <f aca="false">'12.lan'!D80</f>
        <v>Additional comments:</v>
      </c>
      <c r="C24" s="37" t="s">
        <v>15</v>
      </c>
    </row>
    <row r="25" customFormat="false" ht="120.75" hidden="false" customHeight="true" outlineLevel="0" collapsed="false">
      <c r="A25" s="29"/>
      <c r="B25" s="29"/>
      <c r="C25" s="31"/>
    </row>
  </sheetData>
  <sheetProtection sheet="true" password="f532"/>
  <mergeCells count="2">
    <mergeCell ref="B2:C2"/>
    <mergeCell ref="B3:C3"/>
  </mergeCells>
  <hyperlinks>
    <hyperlink ref="C15" r:id="rId1" display="mail@bla.com"/>
  </hyperlink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8"/>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7" activeCellId="0" sqref="C7"/>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58.29"/>
    <col collapsed="false" customWidth="true" hidden="false" outlineLevel="0" max="3" min="3" style="49" width="41"/>
    <col collapsed="false" customWidth="true" hidden="false" outlineLevel="0" max="4" min="4" style="1" width="25"/>
    <col collapsed="false" customWidth="true" hidden="false" outlineLevel="0" max="5" min="5" style="1" width="29.29"/>
    <col collapsed="false" customWidth="true" hidden="false" outlineLevel="0" max="6" min="6" style="1" width="19.29"/>
    <col collapsed="false" customWidth="false" hidden="false" outlineLevel="0" max="12" min="7" style="1" width="10.71"/>
    <col collapsed="false" customWidth="true" hidden="true" outlineLevel="0" max="13" min="13" style="1" width="11.52"/>
    <col collapsed="false" customWidth="false" hidden="false" outlineLevel="0" max="1024" min="14" style="1" width="10.71"/>
  </cols>
  <sheetData>
    <row r="1" customFormat="false" ht="12.75" hidden="false" customHeight="true" outlineLevel="0" collapsed="false">
      <c r="A1" s="2"/>
      <c r="B1" s="50"/>
      <c r="C1" s="51"/>
    </row>
    <row r="2" customFormat="false" ht="12.75" hidden="false" customHeight="true" outlineLevel="0" collapsed="false">
      <c r="A2" s="2"/>
      <c r="B2" s="22" t="str">
        <f aca="false">'12.lan'!D91&amp;" - "&amp;'0. Intro'!B3&amp;" "&amp;'0. Intro'!C3</f>
        <v>Common Good Balance Calculator - Version 5.04</v>
      </c>
      <c r="C2" s="22"/>
      <c r="M2" s="1" t="str">
        <f aca="false">'12.lan'!D52</f>
        <v>yes</v>
      </c>
    </row>
    <row r="3" customFormat="false" ht="18" hidden="false" customHeight="true" outlineLevel="0" collapsed="false">
      <c r="A3" s="2"/>
      <c r="B3" s="52" t="str">
        <f aca="false">'12.lan'!D194</f>
        <v>Company details</v>
      </c>
      <c r="C3" s="52"/>
      <c r="M3" s="1" t="str">
        <f aca="false">'12.lan'!D53</f>
        <v>no</v>
      </c>
    </row>
    <row r="4" customFormat="false" ht="73.5" hidden="false" customHeight="true" outlineLevel="0" collapsed="false">
      <c r="A4" s="2"/>
      <c r="B4" s="53" t="str">
        <f aca="false">'12.lan'!D195</f>
        <v>Fill in the highlighted fields below. Where detailed information is not available, please enter estimates, otherwise the calculation will not be accurate</v>
      </c>
      <c r="C4" s="53"/>
    </row>
    <row r="5" customFormat="false" ht="12.75" hidden="false" customHeight="true" outlineLevel="0" collapsed="false">
      <c r="A5" s="2"/>
      <c r="B5" s="50"/>
      <c r="C5" s="51"/>
    </row>
    <row r="6" customFormat="false" ht="19.5" hidden="false" customHeight="true" outlineLevel="0" collapsed="false">
      <c r="A6" s="2"/>
      <c r="B6" s="54" t="str">
        <f aca="false">'12.lan'!B108</f>
        <v>A: Suppliers</v>
      </c>
      <c r="C6" s="55"/>
      <c r="D6" s="55"/>
      <c r="E6" s="55"/>
      <c r="F6" s="55"/>
    </row>
    <row r="7" customFormat="false" ht="19.5" hidden="false" customHeight="true" outlineLevel="0" collapsed="false">
      <c r="A7" s="2"/>
      <c r="B7" s="56" t="str">
        <f aca="false">'12.lan'!D297</f>
        <v>Total purchases from suppliers (in Euros):</v>
      </c>
      <c r="C7" s="57" t="n">
        <v>10000</v>
      </c>
      <c r="D7" s="58" t="str">
        <f aca="false">IF(SUM(F10:F14)&gt;C7,'12.lan'!D44,"")</f>
        <v/>
      </c>
      <c r="E7" s="59"/>
      <c r="F7" s="60"/>
    </row>
    <row r="8" customFormat="false" ht="19.5" hidden="false" customHeight="true" outlineLevel="0" collapsed="false">
      <c r="A8" s="2"/>
      <c r="B8" s="56" t="str">
        <f aca="false">'12.lan'!D298</f>
        <v>Enter the 5 most important industry sectors whose products or services you use.</v>
      </c>
      <c r="C8" s="55"/>
      <c r="D8" s="55"/>
      <c r="E8" s="55"/>
      <c r="F8" s="55"/>
    </row>
    <row r="9" customFormat="false" ht="19.5" hidden="false" customHeight="true" outlineLevel="0" collapsed="false">
      <c r="A9" s="2"/>
      <c r="B9" s="54" t="str">
        <f aca="false">'12.lan'!D299</f>
        <v>Industry sector</v>
      </c>
      <c r="C9" s="54" t="str">
        <f aca="false">'12.lan'!D300</f>
        <v>Description</v>
      </c>
      <c r="D9" s="54" t="str">
        <f aca="false">'12.lan'!D301</f>
        <v>Region of origin</v>
      </c>
      <c r="E9" s="54"/>
      <c r="F9" s="54" t="str">
        <f aca="false">'12.lan'!D302</f>
        <v>Costs</v>
      </c>
    </row>
    <row r="10" customFormat="false" ht="19.5" hidden="false" customHeight="true" outlineLevel="0" collapsed="false">
      <c r="A10" s="2"/>
      <c r="B10" s="61" t="str">
        <f aca="false">'12.lan'!$D$203</f>
        <v>Please choose</v>
      </c>
      <c r="C10" s="57" t="str">
        <f aca="false">'12.lan'!$D$202</f>
        <v>Please enter</v>
      </c>
      <c r="D10" s="57" t="str">
        <f aca="false">'12.lan'!$D$203</f>
        <v>Please choose</v>
      </c>
      <c r="E10" s="57"/>
      <c r="F10" s="57" t="n">
        <v>500</v>
      </c>
    </row>
    <row r="11" customFormat="false" ht="19.5" hidden="false" customHeight="true" outlineLevel="0" collapsed="false">
      <c r="A11" s="2"/>
      <c r="B11" s="61" t="str">
        <f aca="false">'12.lan'!$D$203</f>
        <v>Please choose</v>
      </c>
      <c r="C11" s="57" t="str">
        <f aca="false">'12.lan'!$D$202</f>
        <v>Please enter</v>
      </c>
      <c r="D11" s="57" t="str">
        <f aca="false">'12.lan'!$D$203</f>
        <v>Please choose</v>
      </c>
      <c r="E11" s="57"/>
      <c r="F11" s="57" t="n">
        <v>0</v>
      </c>
    </row>
    <row r="12" customFormat="false" ht="19.5" hidden="false" customHeight="true" outlineLevel="0" collapsed="false">
      <c r="A12" s="2"/>
      <c r="B12" s="61" t="str">
        <f aca="false">'12.lan'!$D$203</f>
        <v>Please choose</v>
      </c>
      <c r="C12" s="57" t="str">
        <f aca="false">'12.lan'!$D$202</f>
        <v>Please enter</v>
      </c>
      <c r="D12" s="57" t="str">
        <f aca="false">'12.lan'!$D$203</f>
        <v>Please choose</v>
      </c>
      <c r="E12" s="57"/>
      <c r="F12" s="57" t="n">
        <v>0</v>
      </c>
    </row>
    <row r="13" customFormat="false" ht="19.5" hidden="false" customHeight="true" outlineLevel="0" collapsed="false">
      <c r="A13" s="2"/>
      <c r="B13" s="61" t="str">
        <f aca="false">'12.lan'!$D$203</f>
        <v>Please choose</v>
      </c>
      <c r="C13" s="57" t="str">
        <f aca="false">'12.lan'!$D$202</f>
        <v>Please enter</v>
      </c>
      <c r="D13" s="57" t="str">
        <f aca="false">'12.lan'!$D$203</f>
        <v>Please choose</v>
      </c>
      <c r="E13" s="57"/>
      <c r="F13" s="57" t="n">
        <v>0</v>
      </c>
    </row>
    <row r="14" customFormat="false" ht="19.5" hidden="false" customHeight="true" outlineLevel="0" collapsed="false">
      <c r="A14" s="2"/>
      <c r="B14" s="61" t="str">
        <f aca="false">'12.lan'!$D$203</f>
        <v>Please choose</v>
      </c>
      <c r="C14" s="57" t="str">
        <f aca="false">'12.lan'!$D$202</f>
        <v>Please enter</v>
      </c>
      <c r="D14" s="57" t="str">
        <f aca="false">'12.lan'!$D$203</f>
        <v>Please choose</v>
      </c>
      <c r="E14" s="57"/>
      <c r="F14" s="57" t="n">
        <v>0</v>
      </c>
    </row>
    <row r="15" customFormat="false" ht="19.5" hidden="false" customHeight="true" outlineLevel="0" collapsed="false">
      <c r="A15" s="2"/>
      <c r="B15" s="62" t="str">
        <f aca="false">'12.lan'!$D$303</f>
        <v>Main origin of the other suppliers</v>
      </c>
      <c r="C15" s="62"/>
      <c r="D15" s="57" t="str">
        <f aca="false">'12.lan'!$D$203</f>
        <v>Please choose</v>
      </c>
      <c r="E15" s="57"/>
      <c r="F15" s="63" t="n">
        <f aca="false">C7-F10-F11-F12-F13-F14</f>
        <v>9500</v>
      </c>
    </row>
    <row r="16" customFormat="false" ht="9.75" hidden="false" customHeight="true" outlineLevel="0" collapsed="false">
      <c r="A16" s="2"/>
      <c r="B16" s="64"/>
      <c r="C16" s="65"/>
    </row>
    <row r="17" customFormat="false" ht="19.5" hidden="false" customHeight="true" outlineLevel="0" collapsed="false">
      <c r="A17" s="2"/>
      <c r="B17" s="54" t="str">
        <f aca="false">'12.lan'!B122</f>
        <v>B: Owners, equity- and financial service providers</v>
      </c>
      <c r="C17" s="55"/>
    </row>
    <row r="18" customFormat="false" ht="19.5" hidden="false" customHeight="true" outlineLevel="0" collapsed="false">
      <c r="A18" s="2"/>
      <c r="B18" s="56" t="str">
        <f aca="false">'12.lan'!D304</f>
        <v>Profit</v>
      </c>
      <c r="C18" s="57" t="n">
        <v>500</v>
      </c>
    </row>
    <row r="19" customFormat="false" ht="19.5" hidden="false" customHeight="true" outlineLevel="0" collapsed="false">
      <c r="A19" s="2"/>
      <c r="B19" s="56" t="str">
        <f aca="false">'12.lan'!D305</f>
        <v>Financing costs</v>
      </c>
      <c r="C19" s="57" t="n">
        <v>0</v>
      </c>
    </row>
    <row r="20" customFormat="false" ht="19.5" hidden="false" customHeight="true" outlineLevel="0" collapsed="false">
      <c r="A20" s="2"/>
      <c r="B20" s="56" t="str">
        <f aca="false">'12.lan'!D306</f>
        <v>Income from financial investments</v>
      </c>
      <c r="C20" s="57" t="n">
        <v>0</v>
      </c>
    </row>
    <row r="21" customFormat="false" ht="19.5" hidden="false" customHeight="true" outlineLevel="0" collapsed="false">
      <c r="A21" s="2"/>
      <c r="B21" s="56" t="str">
        <f aca="false">'12.lan'!D307</f>
        <v>Total assets</v>
      </c>
      <c r="C21" s="57" t="n">
        <v>0</v>
      </c>
    </row>
    <row r="22" customFormat="false" ht="19.5" hidden="false" customHeight="true" outlineLevel="0" collapsed="false">
      <c r="A22" s="2"/>
      <c r="B22" s="56" t="str">
        <f aca="false">'12.lan'!D308</f>
        <v>Additions to fixed-assets</v>
      </c>
      <c r="C22" s="57" t="n">
        <v>0</v>
      </c>
    </row>
    <row r="23" customFormat="false" ht="19.5" hidden="false" customHeight="true" outlineLevel="0" collapsed="false">
      <c r="A23" s="2"/>
      <c r="B23" s="56" t="str">
        <f aca="false">'12.lan'!D309</f>
        <v>Financial assets and cash balance</v>
      </c>
      <c r="C23" s="57" t="n">
        <v>0</v>
      </c>
    </row>
    <row r="24" customFormat="false" ht="9.75" hidden="false" customHeight="true" outlineLevel="0" collapsed="false">
      <c r="A24" s="2"/>
      <c r="B24" s="64"/>
      <c r="C24" s="66"/>
    </row>
    <row r="25" customFormat="false" ht="19.5" hidden="false" customHeight="true" outlineLevel="0" collapsed="false">
      <c r="A25" s="2"/>
      <c r="B25" s="54" t="str">
        <f aca="false">'12.lan'!B137</f>
        <v>C: Employees</v>
      </c>
      <c r="C25" s="55"/>
    </row>
    <row r="26" customFormat="false" ht="19.5" hidden="false" customHeight="true" outlineLevel="0" collapsed="false">
      <c r="A26" s="2"/>
      <c r="B26" s="56" t="str">
        <f aca="false">'12.lan'!D310</f>
        <v>Number of employees (full time equivalents)</v>
      </c>
      <c r="C26" s="57" t="n">
        <v>0</v>
      </c>
    </row>
    <row r="27" customFormat="false" ht="19.5" hidden="false" customHeight="true" outlineLevel="0" collapsed="false">
      <c r="A27" s="2"/>
      <c r="B27" s="56" t="str">
        <f aca="false">'12.lan'!D311</f>
        <v>Staff costs (gross without employer contribution)</v>
      </c>
      <c r="C27" s="57" t="n">
        <v>0</v>
      </c>
    </row>
    <row r="28" customFormat="false" ht="19.5" hidden="false" customHeight="true" outlineLevel="0" collapsed="false">
      <c r="A28" s="2"/>
      <c r="B28" s="56" t="str">
        <f aca="false">'12.lan'!D312</f>
        <v>Enter the 3 countries and regions where most of the staff are</v>
      </c>
      <c r="C28" s="55"/>
    </row>
    <row r="29" customFormat="false" ht="19.5" hidden="false" customHeight="true" outlineLevel="0" collapsed="false">
      <c r="A29" s="2"/>
      <c r="B29" s="56" t="str">
        <f aca="false">'12.lan'!D313</f>
        <v>Country and region</v>
      </c>
      <c r="C29" s="56"/>
      <c r="D29" s="1" t="str">
        <f aca="false">'12.lan'!D314</f>
        <v>Amount in %</v>
      </c>
    </row>
    <row r="30" customFormat="false" ht="19.5" hidden="false" customHeight="true" outlineLevel="0" collapsed="false">
      <c r="A30" s="2"/>
      <c r="B30" s="57" t="str">
        <f aca="false">'12.lan'!$D$203</f>
        <v>Please choose</v>
      </c>
      <c r="C30" s="57"/>
      <c r="D30" s="67" t="n">
        <v>0</v>
      </c>
      <c r="E30" s="59" t="str">
        <f aca="false">IF(SUM(D30:D32)&gt;"100%","fehlerhafte Eingabe","")</f>
        <v/>
      </c>
      <c r="F30" s="59"/>
    </row>
    <row r="31" customFormat="false" ht="19.5" hidden="false" customHeight="true" outlineLevel="0" collapsed="false">
      <c r="A31" s="2"/>
      <c r="B31" s="57" t="str">
        <f aca="false">'12.lan'!$D$203</f>
        <v>Please choose</v>
      </c>
      <c r="C31" s="57"/>
      <c r="D31" s="67" t="n">
        <v>0</v>
      </c>
    </row>
    <row r="32" customFormat="false" ht="19.5" hidden="false" customHeight="true" outlineLevel="0" collapsed="false">
      <c r="A32" s="2"/>
      <c r="B32" s="57" t="str">
        <f aca="false">'12.lan'!$D$203</f>
        <v>Please choose</v>
      </c>
      <c r="C32" s="57"/>
      <c r="D32" s="67" t="n">
        <v>0</v>
      </c>
    </row>
    <row r="33" customFormat="false" ht="19.5" hidden="false" customHeight="true" outlineLevel="0" collapsed="false">
      <c r="A33" s="2"/>
      <c r="B33" s="56" t="str">
        <f aca="false">'12.lan'!D315</f>
        <v>Average journey to work for staff (in km)</v>
      </c>
      <c r="C33" s="57" t="n">
        <v>0</v>
      </c>
    </row>
    <row r="34" customFormat="false" ht="19.5" hidden="false" customHeight="true" outlineLevel="0" collapsed="false">
      <c r="A34" s="2"/>
      <c r="B34" s="56" t="str">
        <f aca="false">'12.lan'!D316</f>
        <v>Is there a canteen for the majority of staff?</v>
      </c>
      <c r="C34" s="37"/>
      <c r="D34" s="68" t="s">
        <v>16</v>
      </c>
      <c r="E34" s="68"/>
      <c r="F34" s="68" t="s">
        <v>17</v>
      </c>
    </row>
    <row r="35" customFormat="false" ht="9.75" hidden="false" customHeight="true" outlineLevel="0" collapsed="false">
      <c r="A35" s="2"/>
      <c r="B35" s="64"/>
      <c r="C35" s="66"/>
    </row>
    <row r="36" customFormat="false" ht="19.5" hidden="false" customHeight="true" outlineLevel="0" collapsed="false">
      <c r="A36" s="2"/>
      <c r="B36" s="54" t="str">
        <f aca="false">'12.lan'!B158</f>
        <v>D: Customers and other companies</v>
      </c>
      <c r="C36" s="55"/>
      <c r="D36" s="55"/>
      <c r="E36" s="55"/>
      <c r="F36" s="55"/>
    </row>
    <row r="37" customFormat="false" ht="19.5" hidden="false" customHeight="true" outlineLevel="0" collapsed="false">
      <c r="A37" s="2"/>
      <c r="B37" s="56" t="str">
        <f aca="false">'12.lan'!D317</f>
        <v>Turnover (in Euros)</v>
      </c>
      <c r="C37" s="57"/>
      <c r="D37" s="60"/>
      <c r="E37" s="60"/>
      <c r="F37" s="60"/>
    </row>
    <row r="38" customFormat="false" ht="19.5" hidden="false" customHeight="true" outlineLevel="0" collapsed="false">
      <c r="A38" s="2"/>
      <c r="B38" s="56" t="str">
        <f aca="false">'12.lan'!D318</f>
        <v>Are your customers mainly other companies?</v>
      </c>
      <c r="C38" s="37"/>
      <c r="D38" s="60"/>
      <c r="E38" s="69"/>
      <c r="F38" s="69"/>
    </row>
    <row r="39" customFormat="false" ht="19.5" hidden="false" customHeight="true" outlineLevel="0" collapsed="false">
      <c r="A39" s="2"/>
      <c r="B39" s="56" t="str">
        <f aca="false">'12.lan'!D319</f>
        <v>Enter the 3 most important industry sectors which your company is active in, including a rough share of turnover</v>
      </c>
      <c r="C39" s="55"/>
      <c r="D39" s="55"/>
      <c r="E39" s="66"/>
    </row>
    <row r="40" customFormat="false" ht="19.5" hidden="false" customHeight="true" outlineLevel="0" collapsed="false">
      <c r="A40" s="2"/>
      <c r="B40" s="56" t="str">
        <f aca="false">'12.lan'!D320</f>
        <v>Industry sector</v>
      </c>
      <c r="C40" s="56" t="str">
        <f aca="false">'12.lan'!D321</f>
        <v>Description</v>
      </c>
      <c r="D40" s="56" t="str">
        <f aca="false">'12.lan'!D322</f>
        <v>% Amount of total turnover</v>
      </c>
      <c r="E40" s="70"/>
    </row>
    <row r="41" customFormat="false" ht="19.5" hidden="false" customHeight="true" outlineLevel="0" collapsed="false">
      <c r="A41" s="2"/>
      <c r="B41" s="57" t="str">
        <f aca="false">'12.lan'!$D$203</f>
        <v>Please choose</v>
      </c>
      <c r="C41" s="57"/>
      <c r="D41" s="67" t="n">
        <v>0</v>
      </c>
      <c r="E41" s="71"/>
      <c r="F41" s="72" t="str">
        <f aca="false">IF(SUM(D41:D43)&gt;"100%","fehlerhafte Eingabe","")</f>
        <v/>
      </c>
    </row>
    <row r="42" customFormat="false" ht="19.5" hidden="false" customHeight="true" outlineLevel="0" collapsed="false">
      <c r="A42" s="2"/>
      <c r="B42" s="57" t="str">
        <f aca="false">'12.lan'!$D$203</f>
        <v>Please choose</v>
      </c>
      <c r="C42" s="57"/>
      <c r="D42" s="67" t="n">
        <v>0</v>
      </c>
      <c r="E42" s="71"/>
    </row>
    <row r="43" customFormat="false" ht="19.5" hidden="false" customHeight="true" outlineLevel="0" collapsed="false">
      <c r="A43" s="2"/>
      <c r="B43" s="57" t="str">
        <f aca="false">'12.lan'!$D$203</f>
        <v>Please choose</v>
      </c>
      <c r="C43" s="57"/>
      <c r="D43" s="67" t="n">
        <v>0</v>
      </c>
      <c r="E43" s="71"/>
      <c r="F43" s="73" t="str">
        <f aca="false">IF(SUM(D41:D43)&gt;1,'12.lan'!D44,"")</f>
        <v/>
      </c>
    </row>
    <row r="44" customFormat="false" ht="9.75" hidden="false" customHeight="true" outlineLevel="0" collapsed="false">
      <c r="A44" s="2"/>
      <c r="B44" s="64"/>
      <c r="C44" s="66"/>
    </row>
    <row r="45" customFormat="false" ht="19.5" hidden="false" customHeight="true" outlineLevel="0" collapsed="false">
      <c r="A45" s="2"/>
      <c r="B45" s="54" t="str">
        <f aca="false">'12.lan'!B175</f>
        <v>E: Social environment</v>
      </c>
      <c r="C45" s="55"/>
      <c r="D45" s="55"/>
      <c r="E45" s="55"/>
      <c r="F45" s="55"/>
    </row>
    <row r="46" customFormat="false" ht="19.5" hidden="false" customHeight="true" outlineLevel="0" collapsed="false">
      <c r="A46" s="2"/>
      <c r="B46" s="56" t="str">
        <f aca="false">'12.lan'!D323</f>
        <v>Company size</v>
      </c>
      <c r="C46" s="56" t="str">
        <f aca="false">'9. Weighting'!H39</f>
        <v>Micro-business</v>
      </c>
    </row>
    <row r="47" customFormat="false" ht="9.75" hidden="false" customHeight="true" outlineLevel="0" collapsed="false">
      <c r="A47" s="2"/>
      <c r="B47" s="64"/>
      <c r="C47" s="66"/>
    </row>
    <row r="48" customFormat="false" ht="9.75" hidden="false" customHeight="true" outlineLevel="0" collapsed="false">
      <c r="A48" s="2"/>
      <c r="B48" s="64"/>
      <c r="C48" s="66"/>
    </row>
  </sheetData>
  <sheetProtection algorithmName="SHA-512" hashValue="uIoz3cjUidZUXOObfJdVA61zWMxuCT1sXuHkMhqDO/rG9tX0PoSObclCsG+IxMSlaOgCiBSOtt1NqiFKqXHMQg==" saltValue="xtLz3knCMYgGwfDRD0vgUQ==" spinCount="100000" sheet="true"/>
  <mergeCells count="4">
    <mergeCell ref="B2:C2"/>
    <mergeCell ref="B3:C3"/>
    <mergeCell ref="B4:C4"/>
    <mergeCell ref="B15:C15"/>
  </mergeCells>
  <conditionalFormatting sqref="F10:F14">
    <cfRule type="cellIs" priority="2" operator="equal" aboveAverage="0" equalAverage="0" bottom="0" percent="0" rank="0" text="" dxfId="0">
      <formula>0</formula>
    </cfRule>
    <cfRule type="cellIs" priority="3" operator="equal" aboveAverage="0" equalAverage="0" bottom="0" percent="0" rank="0" text="" dxfId="1">
      <formula>0</formula>
    </cfRule>
  </conditionalFormatting>
  <conditionalFormatting sqref="C18:C23">
    <cfRule type="cellIs" priority="4" operator="equal" aboveAverage="0" equalAverage="0" bottom="0" percent="0" rank="0" text="" dxfId="2">
      <formula>0</formula>
    </cfRule>
  </conditionalFormatting>
  <conditionalFormatting sqref="C26:C27">
    <cfRule type="cellIs" priority="5" operator="equal" aboveAverage="0" equalAverage="0" bottom="0" percent="0" rank="0" text="" dxfId="3">
      <formula>0</formula>
    </cfRule>
  </conditionalFormatting>
  <conditionalFormatting sqref="D30:D32">
    <cfRule type="cellIs" priority="6" operator="equal" aboveAverage="0" equalAverage="0" bottom="0" percent="0" rank="0" text="" dxfId="4">
      <formula>0</formula>
    </cfRule>
  </conditionalFormatting>
  <conditionalFormatting sqref="C33">
    <cfRule type="cellIs" priority="7" operator="equal" aboveAverage="0" equalAverage="0" bottom="0" percent="0" rank="0" text="" dxfId="5">
      <formula>0</formula>
    </cfRule>
  </conditionalFormatting>
  <conditionalFormatting sqref="D41:D43">
    <cfRule type="cellIs" priority="8" operator="equal" aboveAverage="0" equalAverage="0" bottom="0" percent="0" rank="0" text="" dxfId="6">
      <formula>0</formula>
    </cfRule>
  </conditionalFormatting>
  <conditionalFormatting sqref="C37">
    <cfRule type="cellIs" priority="9" operator="equal" aboveAverage="0" equalAverage="0" bottom="0" percent="0" rank="0" text="" dxfId="7">
      <formula>0</formula>
    </cfRule>
  </conditionalFormatting>
  <conditionalFormatting sqref="B41:B43">
    <cfRule type="cellIs" priority="10" operator="equal" aboveAverage="0" equalAverage="0" bottom="0" percent="0" rank="0" text="" dxfId="8">
      <formula>"S - Andere Dienstleistungen"</formula>
    </cfRule>
  </conditionalFormatting>
  <conditionalFormatting sqref="C7">
    <cfRule type="cellIs" priority="11" operator="equal" aboveAverage="0" equalAverage="0" bottom="0" percent="0" rank="0" text="" dxfId="9">
      <formula>0</formula>
    </cfRule>
    <cfRule type="cellIs" priority="12" operator="equal" aboveAverage="0" equalAverage="0" bottom="0" percent="0" rank="0" text="" dxfId="10">
      <formula>0</formula>
    </cfRule>
  </conditionalFormatting>
  <dataValidations count="6">
    <dataValidation allowBlank="true" operator="equal" showDropDown="false" showErrorMessage="true" showInputMessage="false" sqref="B13:B14" type="list">
      <formula1>Branchen</formula1>
      <formula2>0</formula2>
    </dataValidation>
    <dataValidation allowBlank="true" operator="equal" showDropDown="false" showErrorMessage="true" showInputMessage="false" sqref="D13:D15 B32" type="list">
      <formula1>CountryCodes</formula1>
      <formula2>0</formula2>
    </dataValidation>
    <dataValidation allowBlank="true" operator="equal" showDropDown="false" showErrorMessage="true" showInputMessage="false" sqref="E10:E15 B15:C15 C30:C32" type="none">
      <formula1>0</formula1>
      <formula2>0</formula2>
    </dataValidation>
    <dataValidation allowBlank="true" operator="equal" showDropDown="false" showErrorMessage="true" showInputMessage="false" sqref="D10:D12 B30:B31" type="list">
      <formula1>CountryCodes</formula1>
      <formula2>0</formula2>
    </dataValidation>
    <dataValidation allowBlank="true" operator="equal" showDropDown="false" showErrorMessage="true" showInputMessage="false" sqref="B10:B12 B41:B43" type="list">
      <formula1>Branchen</formula1>
      <formula2>0</formula2>
    </dataValidation>
    <dataValidation allowBlank="true" operator="between" showDropDown="false" showErrorMessage="true" showInputMessage="true" sqref="C34 C38" type="list">
      <formula1>$M$2:$M$3</formula1>
      <formula2>0</formula2>
    </dataValidation>
  </dataValidation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7"/>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pane xSplit="0" ySplit="8" topLeftCell="A70" activePane="bottomLeft" state="frozen"/>
      <selection pane="topLeft" activeCell="A1" activeCellId="0" sqref="A1"/>
      <selection pane="bottomLeft" activeCell="H97" activeCellId="0" sqref="H97"/>
    </sheetView>
  </sheetViews>
  <sheetFormatPr defaultColWidth="10.72265625" defaultRowHeight="12.75" zeroHeight="false" outlineLevelRow="0" outlineLevelCol="0"/>
  <cols>
    <col collapsed="false" customWidth="true" hidden="false" outlineLevel="0" max="1" min="1" style="27" width="1.29"/>
    <col collapsed="false" customWidth="true" hidden="false" outlineLevel="0" max="2" min="2" style="74" width="6.71"/>
    <col collapsed="false" customWidth="true" hidden="false" outlineLevel="0" max="3" min="3" style="75" width="68.71"/>
    <col collapsed="false" customWidth="true" hidden="false" outlineLevel="0" max="4" min="4" style="76" width="6.28"/>
    <col collapsed="false" customWidth="true" hidden="false" outlineLevel="0" max="5" min="5" style="76" width="12.71"/>
    <col collapsed="false" customWidth="true" hidden="false" outlineLevel="0" max="6" min="6" style="74" width="42.71"/>
    <col collapsed="false" customWidth="true" hidden="false" outlineLevel="0" max="7" min="7" style="74" width="4.29"/>
    <col collapsed="false" customWidth="true" hidden="false" outlineLevel="0" max="8" min="8" style="76" width="8.14"/>
    <col collapsed="false" customWidth="true" hidden="false" outlineLevel="0" max="9" min="9" style="77" width="7.29"/>
    <col collapsed="false" customWidth="true" hidden="false" outlineLevel="0" max="10" min="10" style="78" width="7.29"/>
    <col collapsed="false" customWidth="true" hidden="true" outlineLevel="0" max="11" min="11" style="27" width="9.71"/>
    <col collapsed="false" customWidth="true" hidden="true" outlineLevel="0" max="12" min="12" style="27" width="11.99"/>
    <col collapsed="false" customWidth="true" hidden="true" outlineLevel="0" max="13" min="13" style="27" width="4.86"/>
    <col collapsed="false" customWidth="true" hidden="false" outlineLevel="0" max="14" min="14" style="27" width="21.14"/>
    <col collapsed="false" customWidth="false" hidden="true" outlineLevel="0" max="15" min="15" style="27" width="10.71"/>
    <col collapsed="false" customWidth="false" hidden="false" outlineLevel="0" max="16" min="16" style="27" width="10.71"/>
    <col collapsed="false" customWidth="true" hidden="false" outlineLevel="0" max="17" min="17" style="27" width="13.7"/>
    <col collapsed="false" customWidth="false" hidden="false" outlineLevel="0" max="1024" min="18" style="27" width="10.71"/>
  </cols>
  <sheetData>
    <row r="1" customFormat="false" ht="12.75" hidden="false" customHeight="true" outlineLevel="0" collapsed="false">
      <c r="A1" s="29"/>
      <c r="B1" s="30"/>
      <c r="C1" s="40"/>
      <c r="D1" s="79"/>
      <c r="E1" s="79"/>
      <c r="F1" s="30"/>
      <c r="G1" s="30"/>
      <c r="H1" s="79"/>
      <c r="I1" s="80"/>
      <c r="J1" s="81"/>
    </row>
    <row r="2" customFormat="false" ht="12.75" hidden="false" customHeight="true" outlineLevel="0" collapsed="false">
      <c r="A2" s="29"/>
      <c r="B2" s="32" t="str">
        <f aca="false">'12.lan'!D91&amp;" - "&amp;'0. Intro'!B3&amp;" "&amp;'0. Intro'!C3</f>
        <v>Common Good Balance Calculator - Version 5.04</v>
      </c>
      <c r="C2" s="32"/>
      <c r="D2" s="79"/>
      <c r="E2" s="79"/>
      <c r="F2" s="30"/>
      <c r="G2" s="82"/>
      <c r="H2" s="83"/>
      <c r="I2" s="83"/>
      <c r="J2" s="83"/>
    </row>
    <row r="3" customFormat="false" ht="5.25" hidden="false" customHeight="true" outlineLevel="0" collapsed="false">
      <c r="A3" s="29"/>
      <c r="B3" s="84" t="str">
        <f aca="false">'12.lan'!D90</f>
        <v>CALCULATION OF INDIVIDUAL ASPECTS</v>
      </c>
      <c r="C3" s="84"/>
      <c r="D3" s="84"/>
      <c r="E3" s="85"/>
      <c r="F3" s="86"/>
      <c r="G3" s="30"/>
      <c r="H3" s="83"/>
      <c r="I3" s="83"/>
      <c r="J3" s="83"/>
    </row>
    <row r="4" customFormat="false" ht="19.5" hidden="false" customHeight="true" outlineLevel="0" collapsed="false">
      <c r="A4" s="29"/>
      <c r="B4" s="84"/>
      <c r="C4" s="84"/>
      <c r="D4" s="84"/>
      <c r="E4" s="85"/>
      <c r="F4" s="87" t="str">
        <f aca="false">'12.lan'!D92</f>
        <v>Total Balance Score:</v>
      </c>
      <c r="G4" s="88"/>
      <c r="H4" s="89" t="n">
        <f aca="false">I4/J4</f>
        <v>0.222222222222222</v>
      </c>
      <c r="I4" s="90" t="n">
        <f aca="false">IF(SUM(I9+I23+I38+I59+I76)*1000/SUM(J9+J23+J38+J59+J76)&lt;-3600,-3600,SUM(I9+I23+I38+I59+I76)*1000/SUM(J9+J23+J38+J59+J76))</f>
        <v>222.222222222222</v>
      </c>
      <c r="J4" s="91" t="n">
        <f aca="false">SUM(J9+J23+J38+J59+J76)*1000/SUM(J9+J23+J38+J59+J76)</f>
        <v>1000</v>
      </c>
      <c r="L4" s="92" t="s">
        <v>18</v>
      </c>
      <c r="M4" s="92"/>
      <c r="N4" s="93"/>
      <c r="O4" s="27" t="s">
        <v>19</v>
      </c>
    </row>
    <row r="5" customFormat="false" ht="12.75" hidden="false" customHeight="true" outlineLevel="0" collapsed="false">
      <c r="A5" s="29"/>
      <c r="B5" s="94" t="str">
        <f aca="false">'12.lan'!D82&amp;": "&amp;'1. General'!C6&amp;"; "&amp;'12.lan'!D83&amp;": "&amp;'1. General'!C12</f>
        <v>Company / Organisation: company; Period under review: </v>
      </c>
      <c r="C5" s="94"/>
      <c r="D5" s="94"/>
      <c r="E5" s="95"/>
      <c r="F5" s="87"/>
      <c r="G5" s="96"/>
      <c r="H5" s="89"/>
      <c r="I5" s="90"/>
      <c r="J5" s="91"/>
    </row>
    <row r="6" customFormat="false" ht="13.5" hidden="false" customHeight="true" outlineLevel="0" collapsed="false">
      <c r="A6" s="29"/>
      <c r="B6" s="30"/>
      <c r="C6" s="40"/>
      <c r="D6" s="79"/>
      <c r="E6" s="79"/>
      <c r="F6" s="30"/>
      <c r="G6" s="30"/>
      <c r="H6" s="79"/>
      <c r="I6" s="80"/>
      <c r="J6" s="81"/>
    </row>
    <row r="7" customFormat="false" ht="29.25" hidden="false" customHeight="true" outlineLevel="0" collapsed="false">
      <c r="A7" s="29"/>
      <c r="B7" s="97"/>
      <c r="C7" s="97"/>
      <c r="D7" s="97"/>
      <c r="E7" s="97"/>
      <c r="F7" s="97"/>
      <c r="G7" s="97"/>
      <c r="H7" s="97"/>
      <c r="I7" s="97"/>
      <c r="J7" s="97"/>
    </row>
    <row r="8" customFormat="false" ht="30" hidden="false" customHeight="true" outlineLevel="0" collapsed="false">
      <c r="A8" s="29"/>
      <c r="B8" s="98" t="str">
        <f aca="false">'12.lan'!D93</f>
        <v>No.</v>
      </c>
      <c r="C8" s="98" t="str">
        <f aca="false">'12.lan'!D107</f>
        <v>Stakeholders/ Themes/ Aspects</v>
      </c>
      <c r="D8" s="99" t="str">
        <f aca="false">'12.lan'!D96</f>
        <v>Weight</v>
      </c>
      <c r="E8" s="99"/>
      <c r="F8" s="100" t="str">
        <f aca="false">'12.lan'!D102</f>
        <v>Current status</v>
      </c>
      <c r="G8" s="100"/>
      <c r="H8" s="101" t="str">
        <f aca="false">'12.lan'!D104</f>
        <v>Est%</v>
      </c>
      <c r="I8" s="102" t="str">
        <f aca="false">'12.lan'!D105</f>
        <v>Points</v>
      </c>
      <c r="J8" s="102" t="str">
        <f aca="false">'12.lan'!D106</f>
        <v>Max.</v>
      </c>
      <c r="L8" s="103" t="s">
        <v>20</v>
      </c>
      <c r="M8" s="103"/>
      <c r="O8" s="104" t="s">
        <v>21</v>
      </c>
    </row>
    <row r="9" customFormat="false" ht="36" hidden="false" customHeight="true" outlineLevel="0" collapsed="false">
      <c r="A9" s="29"/>
      <c r="B9" s="105" t="s">
        <v>22</v>
      </c>
      <c r="C9" s="106" t="str">
        <f aca="false">'12.lan'!D108</f>
        <v>Suppliers</v>
      </c>
      <c r="D9" s="107" t="n">
        <f aca="false">L9</f>
        <v>1.5</v>
      </c>
      <c r="E9" s="108" t="str">
        <f aca="false">VLOOKUP(D9,$C$102:$D$106,2,FALSE())</f>
        <v>high</v>
      </c>
      <c r="F9" s="106"/>
      <c r="G9" s="106"/>
      <c r="H9" s="109" t="n">
        <f aca="false">IFERROR(I9/J9,0)</f>
        <v>0.225</v>
      </c>
      <c r="I9" s="110" t="n">
        <f aca="false">I10+I13+I17+I20</f>
        <v>75</v>
      </c>
      <c r="J9" s="110" t="n">
        <f aca="false">J10+J13+J17+J20</f>
        <v>333.333333333333</v>
      </c>
      <c r="L9" s="27" t="n">
        <f aca="false">'9. Weighting'!K49</f>
        <v>1.5</v>
      </c>
      <c r="N9" s="111" t="str">
        <f aca="false">IF(D9&lt;&gt;L9,'12.lan'!$D$240&amp;VLOOKUP(L9,$C$102:$D$106,2,FALSE())&amp;" ("&amp;L9&amp;")","")</f>
        <v/>
      </c>
    </row>
    <row r="10" customFormat="false" ht="33" hidden="false" customHeight="true" outlineLevel="0" collapsed="false">
      <c r="A10" s="29"/>
      <c r="B10" s="112" t="s">
        <v>23</v>
      </c>
      <c r="C10" s="113" t="str">
        <f aca="false">'12.lan'!D109</f>
        <v>Human dignity in the supply chain</v>
      </c>
      <c r="D10" s="114" t="n">
        <f aca="false">IF(K10="trifft nicht zu",C106,'9. Weighting'!M16)</f>
        <v>1</v>
      </c>
      <c r="E10" s="115" t="str">
        <f aca="false">VLOOKUP(D10,$C$102:$D$106,2,FALSE())</f>
        <v>medium</v>
      </c>
      <c r="F10" s="116" t="n">
        <f aca="false">'9. Weighting'!M16</f>
        <v>1</v>
      </c>
      <c r="G10" s="113"/>
      <c r="H10" s="117" t="n">
        <f aca="false">IF(J10&lt;&gt;0,ROUND(SUM(I11:I12)/J10,1),"-")</f>
        <v>0.1</v>
      </c>
      <c r="I10" s="118" t="n">
        <f aca="false">IF(J10=0,0,H10*J10)</f>
        <v>8.33333333333333</v>
      </c>
      <c r="J10" s="118" t="n">
        <f aca="false">'9. Weighting'!M15</f>
        <v>83.3333333333333</v>
      </c>
      <c r="K10" s="93"/>
      <c r="L10" s="27" t="n">
        <f aca="false">VLOOKUP(O10,$C$102:$E$106,3,FALSE())</f>
        <v>1</v>
      </c>
      <c r="M10" s="27" t="n">
        <f aca="false">VLOOKUP(D10,$C$102:$E$106,3,FALSE())</f>
        <v>1</v>
      </c>
      <c r="N10" s="119" t="str">
        <f aca="false">IF(L10=M10,"",'12.lan'!$D$240&amp;VLOOKUP(L10,$C$102:$D$106,2,FALSE())&amp;" ("&amp;L10&amp;")")</f>
        <v/>
      </c>
      <c r="O10" s="27" t="n">
        <f aca="false">IF(K10="trifft nicht zu",C106,'9. Weighting'!M16)</f>
        <v>1</v>
      </c>
    </row>
    <row r="11" customFormat="false" ht="33.75" hidden="false" customHeight="true" outlineLevel="0" collapsed="false">
      <c r="A11" s="29"/>
      <c r="B11" s="120" t="s">
        <v>24</v>
      </c>
      <c r="C11" s="120" t="str">
        <f aca="false">'12.lan'!D110</f>
        <v>Working conditions and social impact in the supply chain</v>
      </c>
      <c r="D11" s="121"/>
      <c r="E11" s="122"/>
      <c r="F11" s="123" t="str">
        <f aca="false">'12.lan'!$D$329</f>
        <v>Introduce value between 0 and 10</v>
      </c>
      <c r="G11" s="124"/>
      <c r="H11" s="125" t="n">
        <v>1</v>
      </c>
      <c r="I11" s="126" t="n">
        <f aca="false">J11*H11/10</f>
        <v>8.33333333333333</v>
      </c>
      <c r="J11" s="126" t="n">
        <f aca="false">J10*K11/K11</f>
        <v>83.3333333333333</v>
      </c>
      <c r="K11" s="27" t="n">
        <v>1</v>
      </c>
      <c r="N11" s="119" t="str">
        <f aca="false">IF(L11=M11,"",'12.lan'!$D$240&amp;" "&amp;VLOOKUP(L11,$C$102:$D$106,2,FALSE())&amp;" ("&amp;L11&amp;")")</f>
        <v/>
      </c>
    </row>
    <row r="12" customFormat="false" ht="30" hidden="false" customHeight="true" outlineLevel="0" collapsed="false">
      <c r="A12" s="29"/>
      <c r="B12" s="120" t="s">
        <v>25</v>
      </c>
      <c r="C12" s="120" t="str">
        <f aca="false">'12.lan'!D111</f>
        <v>Negative aspect: violation of human dignity in the supply chain</v>
      </c>
      <c r="D12" s="121"/>
      <c r="E12" s="122"/>
      <c r="F12" s="123" t="str">
        <f aca="false">'12.lan'!$D$330</f>
        <v>Introduce negative points between 0 and -200</v>
      </c>
      <c r="G12" s="124"/>
      <c r="H12" s="125" t="n">
        <v>0</v>
      </c>
      <c r="I12" s="126" t="n">
        <f aca="false">H12*J10/50</f>
        <v>0</v>
      </c>
      <c r="J12" s="126" t="n">
        <f aca="false">-200*J10/50</f>
        <v>-333.333333333333</v>
      </c>
    </row>
    <row r="13" customFormat="false" ht="33" hidden="false" customHeight="true" outlineLevel="0" collapsed="false">
      <c r="A13" s="29"/>
      <c r="B13" s="112" t="s">
        <v>26</v>
      </c>
      <c r="C13" s="113" t="str">
        <f aca="false">'12.lan'!D112</f>
        <v>Solidarity and social justice in the supply chain</v>
      </c>
      <c r="D13" s="114" t="n">
        <f aca="false">IF(K13="trifft nicht zu",C106,'9. Weighting'!N16)</f>
        <v>1</v>
      </c>
      <c r="E13" s="115" t="str">
        <f aca="false">VLOOKUP(D13,$C$102:$D$106,2,FALSE())</f>
        <v>medium</v>
      </c>
      <c r="F13" s="127" t="n">
        <f aca="false">IF(K13="trifft nicht zu","trifft nicht zu",'9. Weighting'!N16)</f>
        <v>1</v>
      </c>
      <c r="G13" s="128"/>
      <c r="H13" s="117" t="n">
        <f aca="false">IF(J13&lt;&gt;0,ROUND(SUM(I14:I16)/J13,1),"-")</f>
        <v>0.1</v>
      </c>
      <c r="I13" s="118" t="n">
        <f aca="false">IF(J13=0,0,H13*J13)</f>
        <v>8.33333333333333</v>
      </c>
      <c r="J13" s="118" t="n">
        <f aca="false">'9. Weighting'!N15</f>
        <v>83.3333333333333</v>
      </c>
      <c r="K13" s="93" t="str">
        <f aca="false">IF(AND(D14="trifft nicht zu",D15="trifft nicht zu"),"trifft nicht zu","")</f>
        <v/>
      </c>
      <c r="L13" s="27" t="n">
        <f aca="false">VLOOKUP(O13,$C$102:$E$106,3,FALSE())</f>
        <v>1</v>
      </c>
      <c r="M13" s="27" t="n">
        <f aca="false">VLOOKUP(D13,$C$102:$E$106,3,FALSE())</f>
        <v>1</v>
      </c>
      <c r="N13" s="119" t="str">
        <f aca="false">IF(L13=M13,"",'12.lan'!$D$240&amp;VLOOKUP(L13,$C$102:$D$106,2,FALSE())&amp;" ("&amp;L13&amp;")")</f>
        <v/>
      </c>
      <c r="O13" s="27" t="n">
        <f aca="false">IF(K13="trifft nicht zu",C106,'9. Weighting'!N16)</f>
        <v>1</v>
      </c>
    </row>
    <row r="14" customFormat="false" ht="30" hidden="false" customHeight="true" outlineLevel="0" collapsed="false">
      <c r="A14" s="29"/>
      <c r="B14" s="120" t="s">
        <v>27</v>
      </c>
      <c r="C14" s="120" t="str">
        <f aca="false">'12.lan'!D113</f>
        <v>Fair business practices towards direct suppliers</v>
      </c>
      <c r="D14" s="121" t="n">
        <v>1</v>
      </c>
      <c r="E14" s="129" t="str">
        <f aca="false">VLOOKUP(D14,$C$102:$D$106,2,FALSE())</f>
        <v>medium</v>
      </c>
      <c r="F14" s="123" t="str">
        <f aca="false">'12.lan'!$D$329</f>
        <v>Introduce value between 0 and 10</v>
      </c>
      <c r="G14" s="124"/>
      <c r="H14" s="125" t="n">
        <v>2</v>
      </c>
      <c r="I14" s="126" t="n">
        <f aca="false">IFERROR(J14*H14/10,0)</f>
        <v>8.33333333333333</v>
      </c>
      <c r="J14" s="126" t="n">
        <f aca="false">IFERROR(J13*K14/(K15+K14),0)</f>
        <v>41.6666666666667</v>
      </c>
      <c r="K14" s="27" t="n">
        <f aca="false">VLOOKUP(D14,$C$102:$E$106,3,FALSE())</f>
        <v>1</v>
      </c>
      <c r="L14" s="27" t="n">
        <f aca="false">VLOOKUP(O14,$C$102:$E$106,3,FALSE())</f>
        <v>1</v>
      </c>
      <c r="M14" s="27" t="n">
        <f aca="false">VLOOKUP(D14,$C$102:$E$106,3,FALSE())</f>
        <v>1</v>
      </c>
      <c r="N14" s="119" t="str">
        <f aca="false">IF(L14=M14,"",'12.lan'!$D$240&amp;VLOOKUP(L14,$C$102:$D$106,2,FALSE())&amp;" ("&amp;L14&amp;")")</f>
        <v/>
      </c>
      <c r="O14" s="27" t="n">
        <f aca="false">C104</f>
        <v>1</v>
      </c>
    </row>
    <row r="15" customFormat="false" ht="34.5" hidden="false" customHeight="true" outlineLevel="0" collapsed="false">
      <c r="A15" s="29"/>
      <c r="B15" s="120" t="s">
        <v>28</v>
      </c>
      <c r="C15" s="120" t="str">
        <f aca="false">'12.lan'!D114</f>
        <v>Exercising a positive influence on solidarity and social justice in the supply chain</v>
      </c>
      <c r="D15" s="121" t="n">
        <f aca="false">C104</f>
        <v>1</v>
      </c>
      <c r="E15" s="122" t="str">
        <f aca="false">VLOOKUP(D15,$C$102:$D$106,2,FALSE())</f>
        <v>medium</v>
      </c>
      <c r="F15" s="123" t="str">
        <f aca="false">'12.lan'!$D$329</f>
        <v>Introduce value between 0 and 10</v>
      </c>
      <c r="G15" s="124"/>
      <c r="H15" s="125" t="n">
        <v>3</v>
      </c>
      <c r="I15" s="126" t="n">
        <f aca="false">IFERROR(J15*H15/10,0)</f>
        <v>12.5</v>
      </c>
      <c r="J15" s="126" t="n">
        <f aca="false">IFERROR(J13*K15/(K14+K15),0)</f>
        <v>41.6666666666667</v>
      </c>
      <c r="K15" s="27" t="n">
        <f aca="false">VLOOKUP(D15,$C$102:$E$106,3,FALSE())</f>
        <v>1</v>
      </c>
      <c r="L15" s="27" t="n">
        <f aca="false">VLOOKUP(O15,$C$102:$E$106,3,FALSE())</f>
        <v>1</v>
      </c>
      <c r="M15" s="27" t="n">
        <f aca="false">VLOOKUP(D15,$C$102:$E$106,3,FALSE())</f>
        <v>1</v>
      </c>
      <c r="N15" s="119" t="str">
        <f aca="false">IF(L15=M15,"",'12.lan'!$D$240&amp;VLOOKUP(L15,$C$102:$D$106,2,FALSE())&amp;" ("&amp;L15&amp;")")</f>
        <v/>
      </c>
      <c r="O15" s="27" t="n">
        <f aca="false">C104</f>
        <v>1</v>
      </c>
    </row>
    <row r="16" customFormat="false" ht="33" hidden="false" customHeight="true" outlineLevel="0" collapsed="false">
      <c r="A16" s="29"/>
      <c r="B16" s="120" t="s">
        <v>29</v>
      </c>
      <c r="C16" s="120" t="str">
        <f aca="false">'12.lan'!D115</f>
        <v>Negative aspect: abuse of market power against suppliers</v>
      </c>
      <c r="D16" s="121"/>
      <c r="E16" s="122"/>
      <c r="F16" s="123" t="str">
        <f aca="false">'12.lan'!$D$330</f>
        <v>Introduce negative points between 0 and -200</v>
      </c>
      <c r="G16" s="124"/>
      <c r="H16" s="125" t="n">
        <v>-10</v>
      </c>
      <c r="I16" s="126" t="n">
        <f aca="false">H16*J13/50</f>
        <v>-16.6666666666667</v>
      </c>
      <c r="J16" s="126" t="n">
        <f aca="false">-200*J13/50</f>
        <v>-333.333333333333</v>
      </c>
    </row>
    <row r="17" customFormat="false" ht="33" hidden="false" customHeight="true" outlineLevel="0" collapsed="false">
      <c r="A17" s="29"/>
      <c r="B17" s="112" t="s">
        <v>30</v>
      </c>
      <c r="C17" s="113" t="str">
        <f aca="false">'12.lan'!D116</f>
        <v>Environmental sustainability in the supply chain</v>
      </c>
      <c r="D17" s="114" t="n">
        <f aca="false">IF(K17="trifft nicht zu",C106,'9. Weighting'!O16)</f>
        <v>1</v>
      </c>
      <c r="E17" s="115" t="str">
        <f aca="false">VLOOKUP(D17,$C$102:$D$106,2,FALSE())</f>
        <v>medium</v>
      </c>
      <c r="F17" s="127" t="n">
        <f aca="false">IF(K17="trifft nicht zu","trifft nicht zu",'9. Weighting'!O16)</f>
        <v>1</v>
      </c>
      <c r="G17" s="128"/>
      <c r="H17" s="117" t="n">
        <f aca="false">IF(J17&lt;&gt;0,ROUND(SUM(I18:I19)/J17,1),"-")</f>
        <v>0.1</v>
      </c>
      <c r="I17" s="118" t="n">
        <f aca="false">IF(J17=0,0,H17*J17)</f>
        <v>8.33333333333333</v>
      </c>
      <c r="J17" s="118" t="n">
        <f aca="false">'9. Weighting'!O15</f>
        <v>83.3333333333333</v>
      </c>
      <c r="K17" s="93" t="str">
        <f aca="false">IF(D18="trifft nicht zu","trifft nicht zu","")</f>
        <v/>
      </c>
      <c r="L17" s="27" t="n">
        <f aca="false">VLOOKUP(O17,$C$102:$E$106,3,FALSE())</f>
        <v>1</v>
      </c>
      <c r="M17" s="27" t="n">
        <f aca="false">VLOOKUP(D17,$C$102:$E$106,3,FALSE())</f>
        <v>1</v>
      </c>
      <c r="N17" s="119" t="str">
        <f aca="false">IF(L17=M17,"",'12.lan'!$D$240&amp;VLOOKUP(L17,$C$102:$D$106,2,FALSE())&amp;" ("&amp;L17&amp;")")</f>
        <v/>
      </c>
      <c r="O17" s="27" t="n">
        <f aca="false">IF(K17="trifft nicht zu",C106,'9. Weighting'!O16)</f>
        <v>1</v>
      </c>
    </row>
    <row r="18" customFormat="false" ht="30" hidden="false" customHeight="true" outlineLevel="0" collapsed="false">
      <c r="A18" s="29"/>
      <c r="B18" s="120" t="s">
        <v>31</v>
      </c>
      <c r="C18" s="120" t="str">
        <f aca="false">'12.lan'!D117</f>
        <v>Environmental impact throughout the supply chain</v>
      </c>
      <c r="D18" s="121"/>
      <c r="E18" s="122"/>
      <c r="F18" s="123" t="str">
        <f aca="false">'12.lan'!$D$329</f>
        <v>Introduce value between 0 and 10</v>
      </c>
      <c r="G18" s="124"/>
      <c r="H18" s="125" t="n">
        <v>4</v>
      </c>
      <c r="I18" s="126" t="n">
        <f aca="false">J18*H18/10</f>
        <v>33.3333333333333</v>
      </c>
      <c r="J18" s="126" t="n">
        <f aca="false">J17*K18/K18</f>
        <v>83.3333333333333</v>
      </c>
      <c r="K18" s="27" t="n">
        <v>1</v>
      </c>
      <c r="N18" s="119" t="str">
        <f aca="false">IF(L18=M18,"",'12.lan'!$D$240&amp;VLOOKUP(L18,$C$102:$D$106,2,FALSE())&amp;" ("&amp;L18&amp;")")</f>
        <v/>
      </c>
    </row>
    <row r="19" customFormat="false" ht="33" hidden="false" customHeight="true" outlineLevel="0" collapsed="false">
      <c r="A19" s="29"/>
      <c r="B19" s="120" t="s">
        <v>32</v>
      </c>
      <c r="C19" s="120" t="str">
        <f aca="false">'12.lan'!D118</f>
        <v>Negative aspect: disproportionate environmental impact throughout the supply chain</v>
      </c>
      <c r="D19" s="121"/>
      <c r="E19" s="122"/>
      <c r="F19" s="123" t="str">
        <f aca="false">'12.lan'!$D$330</f>
        <v>Introduce negative points between 0 and -200</v>
      </c>
      <c r="G19" s="124"/>
      <c r="H19" s="125" t="n">
        <v>-15</v>
      </c>
      <c r="I19" s="126" t="n">
        <f aca="false">H19*J17/50</f>
        <v>-25</v>
      </c>
      <c r="J19" s="126" t="n">
        <f aca="false">-200*J17/50</f>
        <v>-333.333333333333</v>
      </c>
    </row>
    <row r="20" customFormat="false" ht="33" hidden="false" customHeight="true" outlineLevel="0" collapsed="false">
      <c r="A20" s="29"/>
      <c r="B20" s="112" t="s">
        <v>33</v>
      </c>
      <c r="C20" s="113" t="str">
        <f aca="false">'12.lan'!D119</f>
        <v>Transparency &amp; co-determination in the supply chain</v>
      </c>
      <c r="D20" s="114" t="n">
        <f aca="false">IF(K20="trifft nicht zu",C106,'9. Weighting'!P16)</f>
        <v>1</v>
      </c>
      <c r="E20" s="115" t="str">
        <f aca="false">VLOOKUP(D20,$C$102:$D$106,2,FALSE())</f>
        <v>medium</v>
      </c>
      <c r="F20" s="127" t="n">
        <f aca="false">IF(K20="trifft nicht zu","trifft nicht zu",'9. Weighting'!P16)</f>
        <v>1</v>
      </c>
      <c r="G20" s="128"/>
      <c r="H20" s="117" t="n">
        <f aca="false">IF(J20&lt;&gt;0,ROUND(SUM(I21:I22)/J20,1),"-")</f>
        <v>0.6</v>
      </c>
      <c r="I20" s="118" t="n">
        <f aca="false">IF(J20=0,0,H20*J20)</f>
        <v>50</v>
      </c>
      <c r="J20" s="118" t="n">
        <f aca="false">'9. Weighting'!P15</f>
        <v>83.3333333333333</v>
      </c>
      <c r="K20" s="93" t="str">
        <f aca="false">IF(AND(D21="trifft nicht zu",D22="trifft nicht zu"),"trifft nicht zu","")</f>
        <v/>
      </c>
      <c r="L20" s="27" t="n">
        <f aca="false">VLOOKUP(O20,$C$102:$E$106,3,FALSE())</f>
        <v>1</v>
      </c>
      <c r="M20" s="27" t="n">
        <f aca="false">VLOOKUP(D20,$C$102:$E$106,3,FALSE())</f>
        <v>1</v>
      </c>
      <c r="N20" s="119" t="str">
        <f aca="false">IF(L20=M20,"",'12.lan'!$D$240&amp;VLOOKUP(L20,$C$102:$D$106,2,FALSE())&amp;" ("&amp;L20&amp;")")</f>
        <v/>
      </c>
      <c r="O20" s="27" t="n">
        <f aca="false">IF(K20="trifft nicht zu",C106,'9. Weighting'!P16)</f>
        <v>1</v>
      </c>
    </row>
    <row r="21" customFormat="false" ht="36.75" hidden="false" customHeight="true" outlineLevel="0" collapsed="false">
      <c r="A21" s="29"/>
      <c r="B21" s="120" t="s">
        <v>34</v>
      </c>
      <c r="C21" s="120" t="str">
        <f aca="false">'12.lan'!D120</f>
        <v>Transparency towards suppliers and their right to co-determination</v>
      </c>
      <c r="D21" s="121" t="n">
        <f aca="false">C104</f>
        <v>1</v>
      </c>
      <c r="E21" s="122" t="str">
        <f aca="false">VLOOKUP(D21,$C$102:$D$106,2,FALSE())</f>
        <v>medium</v>
      </c>
      <c r="F21" s="123" t="str">
        <f aca="false">'12.lan'!$D$329</f>
        <v>Introduce value between 0 and 10</v>
      </c>
      <c r="G21" s="124"/>
      <c r="H21" s="125" t="n">
        <v>5</v>
      </c>
      <c r="I21" s="126" t="n">
        <f aca="false">IFERROR(J21*H21/10,0)</f>
        <v>20.8333333333333</v>
      </c>
      <c r="J21" s="126" t="n">
        <f aca="false">IFERROR(J20*K21/(K22+K21),0)</f>
        <v>41.6666666666667</v>
      </c>
      <c r="K21" s="27" t="n">
        <f aca="false">VLOOKUP(D21,$C$102:$E$106,3,FALSE())</f>
        <v>1</v>
      </c>
      <c r="L21" s="27" t="n">
        <f aca="false">VLOOKUP(O21,$C$102:$E$106,3,FALSE())</f>
        <v>1</v>
      </c>
      <c r="M21" s="27" t="n">
        <f aca="false">VLOOKUP(D21,$C$102:$E$106,3,FALSE())</f>
        <v>1</v>
      </c>
      <c r="N21" s="119" t="str">
        <f aca="false">IF(L21=M21,"",'12.lan'!$D$240&amp;VLOOKUP(L21,$C$102:$D$106,2,FALSE())&amp;" ("&amp;L21&amp;")")</f>
        <v/>
      </c>
      <c r="O21" s="27" t="n">
        <f aca="false">C104</f>
        <v>1</v>
      </c>
    </row>
    <row r="22" customFormat="false" ht="40.5" hidden="false" customHeight="true" outlineLevel="0" collapsed="false">
      <c r="A22" s="29"/>
      <c r="B22" s="120" t="s">
        <v>35</v>
      </c>
      <c r="C22" s="120" t="str">
        <f aca="false">'12.lan'!D121</f>
        <v>Positive influence on transparency and co-determination throughout the supply chain</v>
      </c>
      <c r="D22" s="121" t="n">
        <f aca="false">C104</f>
        <v>1</v>
      </c>
      <c r="E22" s="122" t="str">
        <f aca="false">VLOOKUP(D22,$C$102:$D$106,2,FALSE())</f>
        <v>medium</v>
      </c>
      <c r="F22" s="123" t="str">
        <f aca="false">'12.lan'!$D$329</f>
        <v>Introduce value between 0 and 10</v>
      </c>
      <c r="G22" s="124"/>
      <c r="H22" s="125" t="n">
        <v>6</v>
      </c>
      <c r="I22" s="126" t="n">
        <f aca="false">IFERROR(J22*H22/10,0)</f>
        <v>25</v>
      </c>
      <c r="J22" s="126" t="n">
        <f aca="false">IFERROR(J20*K22/(K21+K22),0)</f>
        <v>41.6666666666667</v>
      </c>
      <c r="K22" s="27" t="n">
        <f aca="false">VLOOKUP(D22,$C$102:$E$106,3,FALSE())</f>
        <v>1</v>
      </c>
      <c r="L22" s="27" t="n">
        <f aca="false">VLOOKUP(O22,$C$102:$E$106,3,FALSE())</f>
        <v>1</v>
      </c>
      <c r="M22" s="27" t="n">
        <f aca="false">VLOOKUP(D22,$C$102:$E$106,3,FALSE())</f>
        <v>1</v>
      </c>
      <c r="N22" s="119" t="str">
        <f aca="false">IF(L22=M22,"",'12.lan'!$D$240&amp;VLOOKUP(L22,$C$102:$D$106,2,FALSE())&amp;" ("&amp;L22&amp;")")</f>
        <v/>
      </c>
      <c r="O22" s="27" t="n">
        <f aca="false">C104</f>
        <v>1</v>
      </c>
    </row>
    <row r="23" customFormat="false" ht="36" hidden="false" customHeight="true" outlineLevel="0" collapsed="false">
      <c r="A23" s="29"/>
      <c r="B23" s="105" t="s">
        <v>36</v>
      </c>
      <c r="C23" s="105" t="str">
        <f aca="false">'12.lan'!D122</f>
        <v>Owners, equity- and financial service providers</v>
      </c>
      <c r="D23" s="130" t="n">
        <f aca="false">L23</f>
        <v>0.5</v>
      </c>
      <c r="E23" s="131" t="str">
        <f aca="false">VLOOKUP(D23,$C$102:$D$106,2,FALSE())</f>
        <v>low</v>
      </c>
      <c r="F23" s="132"/>
      <c r="G23" s="132"/>
      <c r="H23" s="109" t="n">
        <f aca="false">IFERROR(I23/J23,0)</f>
        <v>0.325</v>
      </c>
      <c r="I23" s="110" t="n">
        <f aca="false">I24+I28+I31+I35</f>
        <v>36.1111111111111</v>
      </c>
      <c r="J23" s="110" t="n">
        <f aca="false">J24+J28+J31+J35</f>
        <v>111.111111111111</v>
      </c>
      <c r="L23" s="27" t="n">
        <f aca="false">'9. Weighting'!K50</f>
        <v>0.5</v>
      </c>
      <c r="N23" s="111" t="str">
        <f aca="false">IF(D23&lt;&gt;L23,'12.lan'!$D$240&amp;VLOOKUP(L23,$C$102:$D$106,2,FALSE())&amp;" ("&amp;L23&amp;")","")</f>
        <v/>
      </c>
    </row>
    <row r="24" customFormat="false" ht="33" hidden="false" customHeight="true" outlineLevel="0" collapsed="false">
      <c r="A24" s="29"/>
      <c r="B24" s="112" t="s">
        <v>37</v>
      </c>
      <c r="C24" s="113" t="str">
        <f aca="false">'12.lan'!D123</f>
        <v>Ethical position in relation to financial resources</v>
      </c>
      <c r="D24" s="114" t="n">
        <f aca="false">IF(K24="trifft nicht zu",C106,'9. Weighting'!M24)</f>
        <v>1</v>
      </c>
      <c r="E24" s="133" t="str">
        <f aca="false">VLOOKUP(D24,$C$102:$D$106,2,FALSE())</f>
        <v>medium</v>
      </c>
      <c r="F24" s="127" t="n">
        <f aca="false">IF(K24="trifft nicht zu","trifft nicht zu",'9. Weighting'!M24)</f>
        <v>1</v>
      </c>
      <c r="G24" s="128"/>
      <c r="H24" s="117" t="n">
        <f aca="false">IF(J24&lt;&gt;0,ROUND(SUM(I25:I27)/J24,1),"-")</f>
        <v>0.8</v>
      </c>
      <c r="I24" s="118" t="n">
        <f aca="false">IF(J24=0,0,H24*J24)</f>
        <v>22.2222222222222</v>
      </c>
      <c r="J24" s="118" t="n">
        <f aca="false">'9. Weighting'!M23</f>
        <v>27.7777777777778</v>
      </c>
      <c r="K24" s="93" t="str">
        <f aca="false">IF(AND(D25="trifft nicht zu",D26="trifft nicht zu",,D27="trifft nicht zu"),"trifft nicht zu","")</f>
        <v/>
      </c>
      <c r="L24" s="27" t="n">
        <f aca="false">VLOOKUP(O24,$C$102:$E$106,3,FALSE())</f>
        <v>1</v>
      </c>
      <c r="M24" s="27" t="n">
        <f aca="false">VLOOKUP(D24,$C$102:$E$106,3,FALSE())</f>
        <v>1</v>
      </c>
      <c r="N24" s="119" t="str">
        <f aca="false">IF(L24=M24,"",'12.lan'!$D$240&amp;VLOOKUP(L24,$C$102:$D$106,2,FALSE())&amp;" ("&amp;L24&amp;")")</f>
        <v/>
      </c>
      <c r="O24" s="134" t="n">
        <f aca="false">IF(K24="trifft nicht zu",C106,'9. Weighting'!M24)</f>
        <v>1</v>
      </c>
    </row>
    <row r="25" customFormat="false" ht="30" hidden="false" customHeight="true" outlineLevel="0" collapsed="false">
      <c r="A25" s="29"/>
      <c r="B25" s="135" t="s">
        <v>38</v>
      </c>
      <c r="C25" s="120" t="str">
        <f aca="false">'12.lan'!D124</f>
        <v>Financial independence through equity financing</v>
      </c>
      <c r="D25" s="121" t="n">
        <f aca="false">C104</f>
        <v>1</v>
      </c>
      <c r="E25" s="129" t="str">
        <f aca="false">VLOOKUP(D25,$C$102:$D$106,2,FALSE())</f>
        <v>medium</v>
      </c>
      <c r="F25" s="123" t="str">
        <f aca="false">'12.lan'!$D$329</f>
        <v>Introduce value between 0 and 10</v>
      </c>
      <c r="G25" s="124"/>
      <c r="H25" s="125" t="n">
        <v>7</v>
      </c>
      <c r="I25" s="126" t="n">
        <f aca="false">IFERROR(J25*H25/10,0)</f>
        <v>6.48148148148148</v>
      </c>
      <c r="J25" s="126" t="n">
        <f aca="false">IFERROR($J$24*K25/($K$27+$K$26+$K$25),0)</f>
        <v>9.25925925925926</v>
      </c>
      <c r="K25" s="27" t="n">
        <f aca="false">VLOOKUP(D25,$C$102:$E$106,3,FALSE())</f>
        <v>1</v>
      </c>
      <c r="L25" s="27" t="n">
        <f aca="false">VLOOKUP(O25,$C$102:$E$106,3,FALSE())</f>
        <v>1</v>
      </c>
      <c r="M25" s="27" t="n">
        <f aca="false">VLOOKUP(D25,$C$102:$E$106,3,FALSE())</f>
        <v>1</v>
      </c>
      <c r="N25" s="119" t="str">
        <f aca="false">IF(L25=M25,"",'12.lan'!$D$240&amp;VLOOKUP(L25,$C$102:$D$106,2,FALSE())&amp;" ("&amp;L25&amp;")")</f>
        <v/>
      </c>
      <c r="O25" s="27" t="n">
        <f aca="false">C104</f>
        <v>1</v>
      </c>
    </row>
    <row r="26" customFormat="false" ht="30" hidden="false" customHeight="true" outlineLevel="0" collapsed="false">
      <c r="A26" s="29"/>
      <c r="B26" s="38" t="s">
        <v>39</v>
      </c>
      <c r="C26" s="48" t="str">
        <f aca="false">'12.lan'!D125</f>
        <v>Common Good-orientated borrowing</v>
      </c>
      <c r="D26" s="121" t="n">
        <f aca="false">C104</f>
        <v>1</v>
      </c>
      <c r="E26" s="129" t="str">
        <f aca="false">VLOOKUP(D26,$C$102:$D$106,2,FALSE())</f>
        <v>medium</v>
      </c>
      <c r="F26" s="123" t="str">
        <f aca="false">'12.lan'!$D$329</f>
        <v>Introduce value between 0 and 10</v>
      </c>
      <c r="G26" s="124"/>
      <c r="H26" s="125" t="n">
        <v>8</v>
      </c>
      <c r="I26" s="126" t="n">
        <f aca="false">IFERROR(J26*H26/10,0)</f>
        <v>7.40740740740741</v>
      </c>
      <c r="J26" s="126" t="n">
        <f aca="false">IFERROR($J$24*K26/($K$27+$K$26+$K$25),0)</f>
        <v>9.25925925925926</v>
      </c>
      <c r="K26" s="27" t="n">
        <f aca="false">VLOOKUP(D26,$C$102:$E$106,3,FALSE())</f>
        <v>1</v>
      </c>
      <c r="L26" s="27" t="n">
        <f aca="false">VLOOKUP(O26,$C$102:$E$106,3,FALSE())</f>
        <v>1</v>
      </c>
      <c r="M26" s="27" t="n">
        <f aca="false">VLOOKUP(D26,$C$102:$E$106,3,FALSE())</f>
        <v>1</v>
      </c>
      <c r="N26" s="119" t="str">
        <f aca="false">IF(L26=M26,"",'12.lan'!$D$240&amp;VLOOKUP(L26,$C$102:$D$106,2,FALSE())&amp;" ("&amp;L26&amp;")")</f>
        <v/>
      </c>
      <c r="O26" s="27" t="n">
        <f aca="false">C104</f>
        <v>1</v>
      </c>
    </row>
    <row r="27" customFormat="false" ht="30" hidden="false" customHeight="true" outlineLevel="0" collapsed="false">
      <c r="A27" s="29"/>
      <c r="B27" s="38" t="s">
        <v>40</v>
      </c>
      <c r="C27" s="48" t="str">
        <f aca="false">'12.lan'!D126</f>
        <v>Ethical position of external financial partners</v>
      </c>
      <c r="D27" s="121" t="n">
        <f aca="false">C104</f>
        <v>1</v>
      </c>
      <c r="E27" s="129" t="str">
        <f aca="false">VLOOKUP(D27,$C$102:$D$106,2,FALSE())</f>
        <v>medium</v>
      </c>
      <c r="F27" s="123" t="str">
        <f aca="false">'12.lan'!$D$329</f>
        <v>Introduce value between 0 and 10</v>
      </c>
      <c r="G27" s="124"/>
      <c r="H27" s="125" t="n">
        <v>9</v>
      </c>
      <c r="I27" s="126" t="n">
        <f aca="false">IFERROR(J27*H27/10,0)</f>
        <v>8.33333333333333</v>
      </c>
      <c r="J27" s="126" t="n">
        <f aca="false">IFERROR($J$24*K27/($K$27+$K$26+$K$25),0)</f>
        <v>9.25925925925926</v>
      </c>
      <c r="K27" s="27" t="n">
        <f aca="false">VLOOKUP(D27,$C$102:$E$106,3,FALSE())</f>
        <v>1</v>
      </c>
      <c r="L27" s="27" t="n">
        <f aca="false">VLOOKUP(O27,$C$102:$E$106,3,FALSE())</f>
        <v>1</v>
      </c>
      <c r="M27" s="27" t="n">
        <f aca="false">VLOOKUP(D27,$C$102:$E$106,3,FALSE())</f>
        <v>1</v>
      </c>
      <c r="N27" s="119" t="str">
        <f aca="false">IF(L27=M27,"",'12.lan'!$D$240&amp;VLOOKUP(L27,$C$102:$D$106,2,FALSE())&amp;" ("&amp;L27&amp;")")</f>
        <v/>
      </c>
      <c r="O27" s="27" t="n">
        <f aca="false">C104</f>
        <v>1</v>
      </c>
    </row>
    <row r="28" customFormat="false" ht="33" hidden="false" customHeight="true" outlineLevel="0" collapsed="false">
      <c r="A28" s="29"/>
      <c r="B28" s="112" t="s">
        <v>41</v>
      </c>
      <c r="C28" s="113" t="str">
        <f aca="false">'12.lan'!D127</f>
        <v>Social position in relation to financial resources</v>
      </c>
      <c r="D28" s="114" t="n">
        <f aca="false">IF(K28="trifft nicht zu",C106,'9. Weighting'!N24)</f>
        <v>1</v>
      </c>
      <c r="E28" s="133" t="str">
        <f aca="false">VLOOKUP(D28,$C$102:$D$106,2,FALSE())</f>
        <v>medium</v>
      </c>
      <c r="F28" s="127" t="n">
        <f aca="false">IF(K28="trifft nicht zu","trifft nicht zu",'9. Weighting'!N24)</f>
        <v>1</v>
      </c>
      <c r="G28" s="128"/>
      <c r="H28" s="117" t="n">
        <f aca="false">IF(J28&lt;&gt;0,ROUND(SUM(I29:I30)/J28,1),"-")</f>
        <v>0.1</v>
      </c>
      <c r="I28" s="118" t="n">
        <f aca="false">IF(J28=0,0,H28*J28)</f>
        <v>2.77777777777778</v>
      </c>
      <c r="J28" s="118" t="n">
        <f aca="false">'9. Weighting'!N23</f>
        <v>27.7777777777778</v>
      </c>
      <c r="L28" s="27" t="n">
        <f aca="false">VLOOKUP(O28,$C$102:$E$106,3,FALSE())</f>
        <v>1</v>
      </c>
      <c r="M28" s="27" t="n">
        <f aca="false">VLOOKUP(D28,$C$102:$E$106,3,FALSE())</f>
        <v>1</v>
      </c>
      <c r="N28" s="119" t="str">
        <f aca="false">IF(L28=M28,"",'12.lan'!$D$240&amp;VLOOKUP(L28,$C$102:$D$106,2,FALSE())&amp;" ("&amp;L28&amp;")")</f>
        <v/>
      </c>
      <c r="O28" s="134" t="n">
        <f aca="false">IF(K28="trifft nicht zu",C106,'9. Weighting'!N24)</f>
        <v>1</v>
      </c>
    </row>
    <row r="29" customFormat="false" ht="30" hidden="false" customHeight="true" outlineLevel="0" collapsed="false">
      <c r="A29" s="29"/>
      <c r="B29" s="135" t="s">
        <v>42</v>
      </c>
      <c r="C29" s="120" t="str">
        <f aca="false">'12.lan'!D128</f>
        <v>Solidarity and Common Good-orientated use of funds</v>
      </c>
      <c r="D29" s="136"/>
      <c r="E29" s="137"/>
      <c r="F29" s="123" t="str">
        <f aca="false">'12.lan'!$D$329</f>
        <v>Introduce value between 0 and 10</v>
      </c>
      <c r="G29" s="124"/>
      <c r="H29" s="125" t="n">
        <v>1</v>
      </c>
      <c r="I29" s="126" t="n">
        <f aca="false">J29*H29/10</f>
        <v>2.77777777777778</v>
      </c>
      <c r="J29" s="126" t="n">
        <f aca="false">$J$28*K29/(K29)</f>
        <v>27.7777777777778</v>
      </c>
      <c r="K29" s="27" t="n">
        <v>1</v>
      </c>
      <c r="L29" s="27" t="e">
        <f aca="false">VLOOKUP(O29,$C$102:$E$106,3,FALSE())</f>
        <v>#N/A</v>
      </c>
      <c r="M29" s="27" t="e">
        <f aca="false">VLOOKUP(D29,$C$102:$E$106,3,FALSE())</f>
        <v>#N/A</v>
      </c>
      <c r="N29" s="119"/>
    </row>
    <row r="30" customFormat="false" ht="30" hidden="false" customHeight="true" outlineLevel="0" collapsed="false">
      <c r="A30" s="29"/>
      <c r="B30" s="38" t="s">
        <v>43</v>
      </c>
      <c r="C30" s="48" t="str">
        <f aca="false">'12.lan'!D129</f>
        <v>Negative aspect: unfair distribution of funds</v>
      </c>
      <c r="D30" s="138"/>
      <c r="E30" s="129"/>
      <c r="F30" s="123" t="str">
        <f aca="false">'12.lan'!$D$330</f>
        <v>Introduce negative points between 0 and -200</v>
      </c>
      <c r="G30" s="124"/>
      <c r="H30" s="125" t="n">
        <v>0</v>
      </c>
      <c r="I30" s="126" t="n">
        <f aca="false">H30*J28/50</f>
        <v>0</v>
      </c>
      <c r="J30" s="126" t="n">
        <f aca="false">-200*J28/50</f>
        <v>-111.111111111111</v>
      </c>
    </row>
    <row r="31" customFormat="false" ht="33" hidden="false" customHeight="true" outlineLevel="0" collapsed="false">
      <c r="A31" s="29"/>
      <c r="B31" s="112" t="s">
        <v>44</v>
      </c>
      <c r="C31" s="113" t="str">
        <f aca="false">'12.lan'!D130</f>
        <v>Use of funds in relation to social and environmental impacts</v>
      </c>
      <c r="D31" s="114" t="n">
        <f aca="false">IF(K31="trifft nicht zu",C106,'9. Weighting'!O24)</f>
        <v>1</v>
      </c>
      <c r="E31" s="133" t="str">
        <f aca="false">VLOOKUP(D31,$C$102:$D$106,2,FALSE())</f>
        <v>medium</v>
      </c>
      <c r="F31" s="127" t="n">
        <f aca="false">IF(K31="trifft nicht zu","trifft nicht zu",'9. Weighting'!O24)</f>
        <v>1</v>
      </c>
      <c r="G31" s="128"/>
      <c r="H31" s="117" t="n">
        <f aca="false">IF(J31&lt;&gt;0,ROUND(SUM(I32:I34)/J31,1),"-")</f>
        <v>0.3</v>
      </c>
      <c r="I31" s="118" t="n">
        <f aca="false">IF(J31=0,0,H31*J31)</f>
        <v>8.33333333333333</v>
      </c>
      <c r="J31" s="118" t="n">
        <f aca="false">'9. Weighting'!O23</f>
        <v>27.7777777777778</v>
      </c>
      <c r="K31" s="93" t="str">
        <f aca="false">IF(AND(D32="trifft nicht zu",D33="trifft nicht zu"),"trifft nicht zu","")</f>
        <v/>
      </c>
      <c r="L31" s="27" t="n">
        <f aca="false">VLOOKUP(O31,$C$102:$E$106,3,FALSE())</f>
        <v>1</v>
      </c>
      <c r="M31" s="27" t="n">
        <f aca="false">VLOOKUP(D31,$C$102:$E$106,3,FALSE())</f>
        <v>1</v>
      </c>
      <c r="N31" s="119" t="str">
        <f aca="false">IF(L31=M31,"",'12.lan'!$D$240&amp;VLOOKUP(L31,$C$102:$D$106,2,FALSE())&amp;" ("&amp;L31&amp;")")</f>
        <v/>
      </c>
      <c r="O31" s="134" t="n">
        <f aca="false">IF(K31="trifft nicht zu",C106,'9. Weighting'!O24)</f>
        <v>1</v>
      </c>
    </row>
    <row r="32" customFormat="false" ht="30" hidden="false" customHeight="true" outlineLevel="0" collapsed="false">
      <c r="A32" s="29"/>
      <c r="B32" s="135" t="s">
        <v>45</v>
      </c>
      <c r="C32" s="120" t="str">
        <f aca="false">'12.lan'!D131</f>
        <v>Environmental quality of investments</v>
      </c>
      <c r="D32" s="121" t="n">
        <f aca="false">C104</f>
        <v>1</v>
      </c>
      <c r="E32" s="129" t="str">
        <f aca="false">VLOOKUP(D32,$C$102:$D$106,2,FALSE())</f>
        <v>medium</v>
      </c>
      <c r="F32" s="123" t="str">
        <f aca="false">'12.lan'!$D$329</f>
        <v>Introduce value between 0 and 10</v>
      </c>
      <c r="G32" s="124"/>
      <c r="H32" s="125" t="n">
        <v>2</v>
      </c>
      <c r="I32" s="126" t="n">
        <f aca="false">IFERROR(J32*H32/10,0)</f>
        <v>2.77777777777778</v>
      </c>
      <c r="J32" s="126" t="n">
        <f aca="false">IFERROR($J$31*K32/($K$32+$K$33),0)</f>
        <v>13.8888888888889</v>
      </c>
      <c r="K32" s="27" t="n">
        <f aca="false">VLOOKUP(D32,$C$102:$E$106,3,FALSE())</f>
        <v>1</v>
      </c>
      <c r="L32" s="27" t="n">
        <f aca="false">VLOOKUP(O32,$C$102:$E$106,3,FALSE())</f>
        <v>1</v>
      </c>
      <c r="M32" s="27" t="n">
        <f aca="false">VLOOKUP(D32,$C$102:$E$106,3,FALSE())</f>
        <v>1</v>
      </c>
      <c r="N32" s="119" t="str">
        <f aca="false">IF(L32=M32,"",'12.lan'!$D$240&amp;VLOOKUP(L32,$C$102:$D$106,2,FALSE())&amp;" ("&amp;L32&amp;")")</f>
        <v/>
      </c>
      <c r="O32" s="27" t="n">
        <f aca="false">C104</f>
        <v>1</v>
      </c>
    </row>
    <row r="33" customFormat="false" ht="30" hidden="false" customHeight="true" outlineLevel="0" collapsed="false">
      <c r="A33" s="29"/>
      <c r="B33" s="38" t="s">
        <v>46</v>
      </c>
      <c r="C33" s="48" t="str">
        <f aca="false">'12.lan'!D132</f>
        <v>Common Good-orientated investment</v>
      </c>
      <c r="D33" s="121" t="n">
        <f aca="false">C104</f>
        <v>1</v>
      </c>
      <c r="E33" s="129" t="str">
        <f aca="false">VLOOKUP(D33,$C$102:$D$106,2,FALSE())</f>
        <v>medium</v>
      </c>
      <c r="F33" s="123" t="str">
        <f aca="false">'12.lan'!$D$329</f>
        <v>Introduce value between 0 and 10</v>
      </c>
      <c r="G33" s="124"/>
      <c r="H33" s="125" t="n">
        <v>3</v>
      </c>
      <c r="I33" s="126" t="n">
        <f aca="false">IFERROR(J33*H33/10,0)</f>
        <v>4.16666666666667</v>
      </c>
      <c r="J33" s="126" t="n">
        <f aca="false">IFERROR($J$31*K33/($K$32+$K$33),0)</f>
        <v>13.8888888888889</v>
      </c>
      <c r="K33" s="27" t="n">
        <f aca="false">VLOOKUP(D33,$C$102:$E$106,3,FALSE())</f>
        <v>1</v>
      </c>
      <c r="L33" s="27" t="n">
        <f aca="false">VLOOKUP(O33,$C$102:$E$106,3,FALSE())</f>
        <v>1</v>
      </c>
      <c r="M33" s="27" t="n">
        <f aca="false">VLOOKUP(D33,$C$102:$E$106,3,FALSE())</f>
        <v>1</v>
      </c>
      <c r="N33" s="119" t="str">
        <f aca="false">IF(L33=M33,"",'12.lan'!$D$240&amp;VLOOKUP(L33,$C$102:$D$106,2,FALSE())&amp;" ("&amp;L33&amp;")")</f>
        <v/>
      </c>
      <c r="O33" s="27" t="n">
        <f aca="false">C104</f>
        <v>1</v>
      </c>
    </row>
    <row r="34" customFormat="false" ht="30" hidden="false" customHeight="true" outlineLevel="0" collapsed="false">
      <c r="A34" s="29"/>
      <c r="B34" s="38" t="s">
        <v>47</v>
      </c>
      <c r="C34" s="48" t="str">
        <f aca="false">'12.lan'!D133</f>
        <v>Negative aspect: reliance on environmentally unsafe resources</v>
      </c>
      <c r="D34" s="121"/>
      <c r="E34" s="129"/>
      <c r="F34" s="123" t="str">
        <f aca="false">'12.lan'!$D$330</f>
        <v>Introduce negative points between 0 and -200</v>
      </c>
      <c r="G34" s="124"/>
      <c r="H34" s="125" t="n">
        <v>0</v>
      </c>
      <c r="I34" s="126" t="n">
        <f aca="false">H34*J31/50</f>
        <v>0</v>
      </c>
      <c r="J34" s="126" t="n">
        <f aca="false">-200*J31/50</f>
        <v>-111.111111111111</v>
      </c>
    </row>
    <row r="35" customFormat="false" ht="33" hidden="false" customHeight="true" outlineLevel="0" collapsed="false">
      <c r="A35" s="29"/>
      <c r="B35" s="112" t="s">
        <v>48</v>
      </c>
      <c r="C35" s="113" t="str">
        <f aca="false">'12.lan'!D134</f>
        <v>Ownership and co-determination</v>
      </c>
      <c r="D35" s="114" t="n">
        <f aca="false">IF(K35="trifft nicht zu",C106,'9. Weighting'!P24)</f>
        <v>1</v>
      </c>
      <c r="E35" s="133" t="str">
        <f aca="false">VLOOKUP(D35,$C$102:$D$106,2,FALSE())</f>
        <v>medium</v>
      </c>
      <c r="F35" s="127" t="n">
        <f aca="false">IF(K35="trifft nicht zu","trifft nicht zu",'9. Weighting'!P24)</f>
        <v>1</v>
      </c>
      <c r="G35" s="128"/>
      <c r="H35" s="117" t="n">
        <f aca="false">IF(J35&lt;&gt;0,ROUND(SUM(I36:I37)/J35,1),"-")</f>
        <v>0.1</v>
      </c>
      <c r="I35" s="118" t="n">
        <f aca="false">IF(J35=0,0,H35*J35)</f>
        <v>2.77777777777778</v>
      </c>
      <c r="J35" s="118" t="n">
        <f aca="false">'9. Weighting'!P23</f>
        <v>27.7777777777778</v>
      </c>
      <c r="L35" s="27" t="n">
        <f aca="false">VLOOKUP(O35,$C$102:$E$106,3,FALSE())</f>
        <v>1</v>
      </c>
      <c r="M35" s="27" t="n">
        <f aca="false">VLOOKUP(D35,$C$102:$E$106,3,FALSE())</f>
        <v>1</v>
      </c>
      <c r="N35" s="119" t="str">
        <f aca="false">IF(L35=M35,"",'12.lan'!$D$240&amp;VLOOKUP(L35,$C$102:$D$106,2,FALSE())&amp;" ("&amp;L35&amp;")")</f>
        <v/>
      </c>
      <c r="O35" s="27" t="n">
        <f aca="false">IF(K35="trifft nicht zu",C106,'9. Weighting'!P24)</f>
        <v>1</v>
      </c>
    </row>
    <row r="36" customFormat="false" ht="30" hidden="false" customHeight="true" outlineLevel="0" collapsed="false">
      <c r="A36" s="29"/>
      <c r="B36" s="135" t="s">
        <v>49</v>
      </c>
      <c r="C36" s="120" t="str">
        <f aca="false">'12.lan'!D135</f>
        <v>Common Good-orientated ownership structure</v>
      </c>
      <c r="D36" s="121"/>
      <c r="E36" s="129"/>
      <c r="F36" s="123" t="str">
        <f aca="false">'12.lan'!$D$329</f>
        <v>Introduce value between 0 and 10</v>
      </c>
      <c r="G36" s="124"/>
      <c r="H36" s="125" t="n">
        <v>1</v>
      </c>
      <c r="I36" s="126" t="n">
        <f aca="false">J36*H36/10</f>
        <v>2.77777777777778</v>
      </c>
      <c r="J36" s="126" t="n">
        <f aca="false">$J$35*K36/(K36)</f>
        <v>27.7777777777778</v>
      </c>
      <c r="K36" s="27" t="n">
        <v>1</v>
      </c>
    </row>
    <row r="37" customFormat="false" ht="30" hidden="false" customHeight="true" outlineLevel="0" collapsed="false">
      <c r="A37" s="29"/>
      <c r="B37" s="38" t="s">
        <v>50</v>
      </c>
      <c r="C37" s="48" t="str">
        <f aca="false">'12.lan'!D136</f>
        <v>Negative aspect: hostile takeover</v>
      </c>
      <c r="D37" s="121"/>
      <c r="E37" s="129"/>
      <c r="F37" s="123" t="str">
        <f aca="false">'12.lan'!$D$330</f>
        <v>Introduce negative points between 0 and -200</v>
      </c>
      <c r="G37" s="124"/>
      <c r="H37" s="125" t="n">
        <v>0</v>
      </c>
      <c r="I37" s="126" t="n">
        <f aca="false">H37*J35/50</f>
        <v>0</v>
      </c>
      <c r="J37" s="126" t="n">
        <f aca="false">-200*J35/50</f>
        <v>-111.111111111111</v>
      </c>
    </row>
    <row r="38" customFormat="false" ht="36" hidden="false" customHeight="true" outlineLevel="0" collapsed="false">
      <c r="A38" s="29"/>
      <c r="B38" s="105" t="s">
        <v>51</v>
      </c>
      <c r="C38" s="105" t="str">
        <f aca="false">'12.lan'!D137</f>
        <v>Employees</v>
      </c>
      <c r="D38" s="130" t="n">
        <f aca="false">L38</f>
        <v>0.5</v>
      </c>
      <c r="E38" s="131" t="str">
        <f aca="false">VLOOKUP(D38,$C$102:$D$106,2,FALSE())</f>
        <v>low</v>
      </c>
      <c r="F38" s="132"/>
      <c r="G38" s="132"/>
      <c r="H38" s="109" t="n">
        <f aca="false">IFERROR(I38/J38,0)</f>
        <v>0.2</v>
      </c>
      <c r="I38" s="110" t="n">
        <f aca="false">I39+I44+I49+I54</f>
        <v>22.2222222222222</v>
      </c>
      <c r="J38" s="110" t="n">
        <f aca="false">J39+J44+J49+J54</f>
        <v>111.111111111111</v>
      </c>
      <c r="L38" s="27" t="n">
        <f aca="false">'9. Weighting'!K51</f>
        <v>0.5</v>
      </c>
      <c r="N38" s="111" t="str">
        <f aca="false">IF(D38&lt;&gt;L38,'12.lan'!$D$240&amp;VLOOKUP(L38,$C$102:$D$106,2,FALSE())&amp;" ("&amp;L38&amp;")","")</f>
        <v/>
      </c>
    </row>
    <row r="39" customFormat="false" ht="32.25" hidden="false" customHeight="true" outlineLevel="0" collapsed="false">
      <c r="A39" s="29"/>
      <c r="B39" s="112" t="s">
        <v>52</v>
      </c>
      <c r="C39" s="113" t="str">
        <f aca="false">'12.lan'!D138</f>
        <v>Human dignity in the workplace and working environment</v>
      </c>
      <c r="D39" s="114" t="n">
        <v>1</v>
      </c>
      <c r="E39" s="133" t="str">
        <f aca="false">VLOOKUP(D39,$C$102:$D$106,2,FALSE())</f>
        <v>medium</v>
      </c>
      <c r="F39" s="127" t="n">
        <f aca="false">IF(K39="trifft nicht zu","trifft nicht zu",'9. Weighting'!M30)</f>
        <v>1</v>
      </c>
      <c r="G39" s="128"/>
      <c r="H39" s="117" t="n">
        <f aca="false">IF(J39&lt;&gt;0,ROUND(SUM(I40:I43)/J39,1),"-")</f>
        <v>0.2</v>
      </c>
      <c r="I39" s="118" t="n">
        <f aca="false">IF(J39=0,0,H39*J39)</f>
        <v>5.55555555555556</v>
      </c>
      <c r="J39" s="118" t="n">
        <f aca="false">'9. Weighting'!M29</f>
        <v>27.7777777777778</v>
      </c>
      <c r="K39" s="93" t="str">
        <f aca="false">IF(AND(D40="trifft nicht zu",D41="trifft nicht zu",,D42="trifft nicht zu"),"trifft nicht zu","")</f>
        <v/>
      </c>
      <c r="L39" s="27" t="n">
        <f aca="false">VLOOKUP(O39,$C$102:$E$106,3,FALSE())</f>
        <v>1</v>
      </c>
      <c r="M39" s="27" t="n">
        <f aca="false">VLOOKUP(D39,$C$102:$E$106,3,FALSE())</f>
        <v>1</v>
      </c>
      <c r="N39" s="119" t="str">
        <f aca="false">IF(L39=M39,"",'12.lan'!$D$240&amp;VLOOKUP(L39,$C$102:$D$106,2,FALSE())&amp;" ("&amp;L39&amp;")")</f>
        <v/>
      </c>
      <c r="O39" s="27" t="n">
        <f aca="false">IF(K39="trifft nicht zu",C106,'9. Weighting'!M30)</f>
        <v>1</v>
      </c>
    </row>
    <row r="40" customFormat="false" ht="30" hidden="false" customHeight="true" outlineLevel="0" collapsed="false">
      <c r="A40" s="29"/>
      <c r="B40" s="120" t="s">
        <v>53</v>
      </c>
      <c r="C40" s="120" t="str">
        <f aca="false">'12.lan'!D139</f>
        <v>Employee-focused organisational culture</v>
      </c>
      <c r="D40" s="121" t="n">
        <f aca="false">C104</f>
        <v>1</v>
      </c>
      <c r="E40" s="129" t="str">
        <f aca="false">VLOOKUP(D40,$C$102:$D$106,2,FALSE())</f>
        <v>medium</v>
      </c>
      <c r="F40" s="123" t="str">
        <f aca="false">'12.lan'!$D$329</f>
        <v>Introduce value between 0 and 10</v>
      </c>
      <c r="G40" s="124"/>
      <c r="H40" s="125" t="n">
        <v>1</v>
      </c>
      <c r="I40" s="126" t="n">
        <f aca="false">IFERROR(J40*H40/10,0)</f>
        <v>0.925925925925926</v>
      </c>
      <c r="J40" s="126" t="n">
        <f aca="false">IFERROR($J$39*K40/(SUM($K$40:$K$42)),0)</f>
        <v>9.25925925925926</v>
      </c>
      <c r="K40" s="27" t="n">
        <f aca="false">VLOOKUP(D40,$C$102:$E$106,3,FALSE())</f>
        <v>1</v>
      </c>
      <c r="L40" s="27" t="n">
        <f aca="false">VLOOKUP(O40,$C$102:$E$106,3,FALSE())</f>
        <v>1</v>
      </c>
      <c r="M40" s="27" t="n">
        <f aca="false">VLOOKUP(D40,$C$102:$E$106,3,FALSE())</f>
        <v>1</v>
      </c>
      <c r="N40" s="119" t="str">
        <f aca="false">IF(L40=M40,"",'12.lan'!$D$240&amp;VLOOKUP(L40,$C$102:$D$106,2,FALSE())&amp;" ("&amp;L40&amp;")")</f>
        <v/>
      </c>
      <c r="O40" s="27" t="n">
        <f aca="false">C104</f>
        <v>1</v>
      </c>
    </row>
    <row r="41" customFormat="false" ht="30" hidden="false" customHeight="true" outlineLevel="0" collapsed="false">
      <c r="A41" s="29"/>
      <c r="B41" s="48" t="s">
        <v>54</v>
      </c>
      <c r="C41" s="48" t="str">
        <f aca="false">'12.lan'!D140</f>
        <v>Health promotion and occupational health and safety</v>
      </c>
      <c r="D41" s="121" t="n">
        <f aca="false">C104</f>
        <v>1</v>
      </c>
      <c r="E41" s="129" t="str">
        <f aca="false">VLOOKUP(D41,$C$102:$D$106,2,FALSE())</f>
        <v>medium</v>
      </c>
      <c r="F41" s="123" t="str">
        <f aca="false">'12.lan'!$D$329</f>
        <v>Introduce value between 0 and 10</v>
      </c>
      <c r="G41" s="124"/>
      <c r="H41" s="125" t="n">
        <v>2</v>
      </c>
      <c r="I41" s="126" t="n">
        <f aca="false">IFERROR(J41*H41/10,0)</f>
        <v>1.85185185185185</v>
      </c>
      <c r="J41" s="126" t="n">
        <f aca="false">IFERROR($J$39*K41/(SUM($K$40:$K$42)),0)</f>
        <v>9.25925925925926</v>
      </c>
      <c r="K41" s="27" t="n">
        <f aca="false">VLOOKUP(D41,$C$102:$E$106,3,FALSE())</f>
        <v>1</v>
      </c>
      <c r="L41" s="27" t="n">
        <f aca="false">VLOOKUP(O41,$C$102:$E$106,3,FALSE())</f>
        <v>1</v>
      </c>
      <c r="M41" s="27" t="n">
        <f aca="false">VLOOKUP(D41,$C$102:$E$106,3,FALSE())</f>
        <v>1</v>
      </c>
      <c r="N41" s="119" t="str">
        <f aca="false">IF(L41=M41,"",'12.lan'!$D$240&amp;VLOOKUP(L41,$C$102:$D$106,2,FALSE())&amp;" ("&amp;L41&amp;")")</f>
        <v/>
      </c>
      <c r="O41" s="27" t="n">
        <f aca="false">C104</f>
        <v>1</v>
      </c>
    </row>
    <row r="42" customFormat="false" ht="30" hidden="false" customHeight="true" outlineLevel="0" collapsed="false">
      <c r="A42" s="29"/>
      <c r="B42" s="48" t="s">
        <v>55</v>
      </c>
      <c r="C42" s="48" t="str">
        <f aca="false">'12.lan'!D141</f>
        <v>Diversity and equal opportunities</v>
      </c>
      <c r="D42" s="121" t="n">
        <f aca="false">C104</f>
        <v>1</v>
      </c>
      <c r="E42" s="129" t="str">
        <f aca="false">VLOOKUP(D42,$C$102:$D$106,2,FALSE())</f>
        <v>medium</v>
      </c>
      <c r="F42" s="123" t="str">
        <f aca="false">'12.lan'!$D$329</f>
        <v>Introduce value between 0 and 10</v>
      </c>
      <c r="G42" s="124"/>
      <c r="H42" s="125" t="n">
        <v>3</v>
      </c>
      <c r="I42" s="126" t="n">
        <f aca="false">IFERROR(J42*H42/10,0)</f>
        <v>2.77777777777778</v>
      </c>
      <c r="J42" s="126" t="n">
        <f aca="false">IFERROR($J$39*K42/(SUM($K$40:$K$42)),0)</f>
        <v>9.25925925925926</v>
      </c>
      <c r="K42" s="27" t="n">
        <f aca="false">VLOOKUP(D42,$C$102:$E$106,3,FALSE())</f>
        <v>1</v>
      </c>
      <c r="L42" s="27" t="n">
        <f aca="false">VLOOKUP(O42,$C$102:$E$106,3,FALSE())</f>
        <v>1</v>
      </c>
      <c r="M42" s="27" t="n">
        <f aca="false">VLOOKUP(D42,$C$102:$E$106,3,FALSE())</f>
        <v>1</v>
      </c>
      <c r="N42" s="119" t="str">
        <f aca="false">IF(L42=M42,"",'12.lan'!$D$240&amp;VLOOKUP(L42,$C$102:$D$106,2,FALSE())&amp;" ("&amp;L42&amp;")")</f>
        <v/>
      </c>
      <c r="O42" s="27" t="n">
        <f aca="false">C104</f>
        <v>1</v>
      </c>
    </row>
    <row r="43" customFormat="false" ht="30" hidden="false" customHeight="true" outlineLevel="0" collapsed="false">
      <c r="A43" s="29"/>
      <c r="B43" s="139" t="s">
        <v>56</v>
      </c>
      <c r="C43" s="139" t="str">
        <f aca="false">'12.lan'!D142</f>
        <v>Negative aspect: unfit working conditions</v>
      </c>
      <c r="D43" s="121"/>
      <c r="E43" s="129"/>
      <c r="F43" s="123" t="str">
        <f aca="false">'12.lan'!$D$330</f>
        <v>Introduce negative points between 0 and -200</v>
      </c>
      <c r="G43" s="124"/>
      <c r="H43" s="125" t="n">
        <v>0</v>
      </c>
      <c r="I43" s="126" t="n">
        <f aca="false">H43*J39/50</f>
        <v>0</v>
      </c>
      <c r="J43" s="126" t="n">
        <f aca="false">-200*J39/50</f>
        <v>-111.111111111111</v>
      </c>
    </row>
    <row r="44" customFormat="false" ht="33" hidden="false" customHeight="true" outlineLevel="0" collapsed="false">
      <c r="A44" s="29"/>
      <c r="B44" s="112" t="s">
        <v>57</v>
      </c>
      <c r="C44" s="113" t="str">
        <f aca="false">'12.lan'!D143</f>
        <v>Self-determined working arrangements</v>
      </c>
      <c r="D44" s="114" t="n">
        <f aca="false">IF(K44="trifft nicht zu",C106,'9. Weighting'!N30)</f>
        <v>1</v>
      </c>
      <c r="E44" s="133" t="str">
        <f aca="false">VLOOKUP(D44,$C$102:$D$106,2,FALSE())</f>
        <v>medium</v>
      </c>
      <c r="F44" s="127" t="n">
        <f aca="false">IF(K44="trifft nicht zu","trifft nicht zu",'9. Weighting'!N30)</f>
        <v>1</v>
      </c>
      <c r="G44" s="128"/>
      <c r="H44" s="117" t="n">
        <f aca="false">IF(J44&lt;&gt;0,ROUND(SUM(I45:I48)/J44,1),"-")</f>
        <v>0.2</v>
      </c>
      <c r="I44" s="118" t="n">
        <f aca="false">IF(J44=0,0,H44*J44)</f>
        <v>5.55555555555556</v>
      </c>
      <c r="J44" s="118" t="n">
        <f aca="false">'9. Weighting'!N29</f>
        <v>27.7777777777778</v>
      </c>
      <c r="K44" s="93" t="str">
        <f aca="false">IF(AND(D45="trifft nicht zu",D46="trifft nicht zu",,D47="trifft nicht zu"),"trifft nicht zu","")</f>
        <v/>
      </c>
      <c r="L44" s="27" t="n">
        <f aca="false">VLOOKUP(O44,$C$102:$E$106,3,FALSE())</f>
        <v>1</v>
      </c>
      <c r="M44" s="27" t="n">
        <f aca="false">VLOOKUP(D44,$C$102:$E$106,3,FALSE())</f>
        <v>1</v>
      </c>
      <c r="N44" s="119" t="str">
        <f aca="false">IF(L44=M44,"",'12.lan'!$D$240&amp;VLOOKUP(L44,$C$102:$D$106,2,FALSE())&amp;" ("&amp;L44&amp;")")</f>
        <v/>
      </c>
      <c r="O44" s="27" t="n">
        <f aca="false">IF(K44="trifft nicht zu",C106,'9. Weighting'!N30)</f>
        <v>1</v>
      </c>
    </row>
    <row r="45" customFormat="false" ht="30" hidden="false" customHeight="true" outlineLevel="0" collapsed="false">
      <c r="A45" s="29"/>
      <c r="B45" s="135" t="s">
        <v>58</v>
      </c>
      <c r="C45" s="120" t="str">
        <f aca="false">'12.lan'!D144</f>
        <v>Pay structure</v>
      </c>
      <c r="D45" s="121" t="n">
        <f aca="false">C104</f>
        <v>1</v>
      </c>
      <c r="E45" s="129" t="str">
        <f aca="false">VLOOKUP(D45,$C$102:$D$106,2,FALSE())</f>
        <v>medium</v>
      </c>
      <c r="F45" s="123" t="str">
        <f aca="false">'12.lan'!$D$329</f>
        <v>Introduce value between 0 and 10</v>
      </c>
      <c r="G45" s="124"/>
      <c r="H45" s="125" t="n">
        <v>1</v>
      </c>
      <c r="I45" s="126" t="n">
        <f aca="false">IFERROR(J45*H45/10,0)</f>
        <v>0.925925925925926</v>
      </c>
      <c r="J45" s="126" t="n">
        <f aca="false">IFERROR($J$44*K45/(SUM($K$45:$K$47)),0)</f>
        <v>9.25925925925926</v>
      </c>
      <c r="K45" s="27" t="n">
        <f aca="false">VLOOKUP(D45,$C$102:$E$106,3,FALSE())</f>
        <v>1</v>
      </c>
      <c r="L45" s="27" t="n">
        <f aca="false">VLOOKUP(O45,$C$102:$E$106,3,FALSE())</f>
        <v>1</v>
      </c>
      <c r="M45" s="27" t="n">
        <f aca="false">VLOOKUP(D45,$C$102:$E$106,3,FALSE())</f>
        <v>1</v>
      </c>
      <c r="N45" s="119" t="str">
        <f aca="false">IF(L45=M45,"",'12.lan'!$D$240&amp;VLOOKUP(L45,$C$102:$D$106,2,FALSE())&amp;" ("&amp;L45&amp;")")</f>
        <v/>
      </c>
      <c r="O45" s="27" t="n">
        <f aca="false">C104</f>
        <v>1</v>
      </c>
    </row>
    <row r="46" customFormat="false" ht="30" hidden="false" customHeight="true" outlineLevel="0" collapsed="false">
      <c r="A46" s="29"/>
      <c r="B46" s="38" t="s">
        <v>59</v>
      </c>
      <c r="C46" s="48" t="str">
        <f aca="false">'12.lan'!D145</f>
        <v>Structuring working time</v>
      </c>
      <c r="D46" s="121" t="n">
        <f aca="false">C104</f>
        <v>1</v>
      </c>
      <c r="E46" s="129" t="str">
        <f aca="false">VLOOKUP(D46,$C$102:$D$106,2,FALSE())</f>
        <v>medium</v>
      </c>
      <c r="F46" s="123" t="str">
        <f aca="false">'12.lan'!$D$329</f>
        <v>Introduce value between 0 and 10</v>
      </c>
      <c r="G46" s="124"/>
      <c r="H46" s="125" t="n">
        <v>2</v>
      </c>
      <c r="I46" s="126" t="n">
        <f aca="false">IFERROR(J46*H46/10,0)</f>
        <v>1.85185185185185</v>
      </c>
      <c r="J46" s="126" t="n">
        <f aca="false">IFERROR($J$44*K46/(SUM($K$45:$K$47)),0)</f>
        <v>9.25925925925926</v>
      </c>
      <c r="K46" s="27" t="n">
        <f aca="false">VLOOKUP(D46,$C$102:$E$106,3,FALSE())</f>
        <v>1</v>
      </c>
      <c r="L46" s="27" t="n">
        <f aca="false">VLOOKUP(O46,$C$102:$E$106,3,FALSE())</f>
        <v>1</v>
      </c>
      <c r="M46" s="27" t="n">
        <f aca="false">VLOOKUP(D46,$C$102:$E$106,3,FALSE())</f>
        <v>1</v>
      </c>
      <c r="N46" s="119" t="str">
        <f aca="false">IF(L46=M46,"",'12.lan'!$D$240&amp;VLOOKUP(L46,$C$102:$D$106,2,FALSE())&amp;" ("&amp;L46&amp;")")</f>
        <v/>
      </c>
      <c r="O46" s="27" t="n">
        <f aca="false">C104</f>
        <v>1</v>
      </c>
    </row>
    <row r="47" customFormat="false" ht="33" hidden="false" customHeight="true" outlineLevel="0" collapsed="false">
      <c r="A47" s="29"/>
      <c r="B47" s="140" t="s">
        <v>60</v>
      </c>
      <c r="C47" s="139" t="str">
        <f aca="false">'12.lan'!D146</f>
        <v>Employment structure and work-life balance</v>
      </c>
      <c r="D47" s="121" t="n">
        <f aca="false">C104</f>
        <v>1</v>
      </c>
      <c r="E47" s="129" t="str">
        <f aca="false">VLOOKUP(D47,$C$102:$D$106,2,FALSE())</f>
        <v>medium</v>
      </c>
      <c r="F47" s="123" t="str">
        <f aca="false">'12.lan'!$D$329</f>
        <v>Introduce value between 0 and 10</v>
      </c>
      <c r="G47" s="124"/>
      <c r="H47" s="125" t="n">
        <v>3</v>
      </c>
      <c r="I47" s="126" t="n">
        <f aca="false">IFERROR(J47*H47/10,0)</f>
        <v>2.77777777777778</v>
      </c>
      <c r="J47" s="126" t="n">
        <f aca="false">IFERROR($J$44*K47/(SUM($K$45:$K$47)),0)</f>
        <v>9.25925925925926</v>
      </c>
      <c r="K47" s="27" t="n">
        <f aca="false">VLOOKUP(D47,$C$102:$E$106,3,FALSE())</f>
        <v>1</v>
      </c>
      <c r="L47" s="27" t="n">
        <f aca="false">VLOOKUP(O47,$C$102:$E$106,3,FALSE())</f>
        <v>1</v>
      </c>
      <c r="M47" s="27" t="n">
        <f aca="false">VLOOKUP(D47,$C$102:$E$106,3,FALSE())</f>
        <v>1</v>
      </c>
      <c r="N47" s="119" t="str">
        <f aca="false">IF(L47=M47,"",'12.lan'!$D$240&amp;VLOOKUP(L47,$C$102:$D$106,2,FALSE())&amp;" ("&amp;L47&amp;")")</f>
        <v/>
      </c>
      <c r="O47" s="27" t="n">
        <f aca="false">C104</f>
        <v>1</v>
      </c>
    </row>
    <row r="48" customFormat="false" ht="33" hidden="false" customHeight="true" outlineLevel="0" collapsed="false">
      <c r="A48" s="29"/>
      <c r="B48" s="140" t="s">
        <v>61</v>
      </c>
      <c r="C48" s="139" t="str">
        <f aca="false">'12.lan'!D147</f>
        <v>Negative aspect: unfair employment contracts</v>
      </c>
      <c r="D48" s="121"/>
      <c r="E48" s="129"/>
      <c r="F48" s="123" t="str">
        <f aca="false">'12.lan'!$D$330</f>
        <v>Introduce negative points between 0 and -200</v>
      </c>
      <c r="G48" s="124"/>
      <c r="H48" s="125" t="n">
        <v>0</v>
      </c>
      <c r="I48" s="126" t="n">
        <f aca="false">H48*J44/50</f>
        <v>0</v>
      </c>
      <c r="J48" s="126" t="n">
        <f aca="false">-200*J44/50</f>
        <v>-111.111111111111</v>
      </c>
    </row>
    <row r="49" customFormat="false" ht="33" hidden="false" customHeight="true" outlineLevel="0" collapsed="false">
      <c r="A49" s="29"/>
      <c r="B49" s="112" t="s">
        <v>62</v>
      </c>
      <c r="C49" s="113" t="str">
        <f aca="false">'12.lan'!D148</f>
        <v>Environmentally-friendly behaviour of staff</v>
      </c>
      <c r="D49" s="114" t="n">
        <v>1</v>
      </c>
      <c r="E49" s="133" t="str">
        <f aca="false">VLOOKUP(D49,$C$102:$D$106,2,FALSE())</f>
        <v>medium</v>
      </c>
      <c r="F49" s="127" t="n">
        <f aca="false">IF(K49="trifft nicht zu","trifft nicht zu",'9. Weighting'!O30)</f>
        <v>1</v>
      </c>
      <c r="G49" s="128"/>
      <c r="H49" s="117" t="n">
        <f aca="false">IF(J49&lt;&gt;0,ROUND(SUM(I50:I53)/J49,1),"-")</f>
        <v>0.2</v>
      </c>
      <c r="I49" s="118" t="n">
        <f aca="false">IF(J49=0,0,H49*J49)</f>
        <v>5.55555555555556</v>
      </c>
      <c r="J49" s="118" t="n">
        <f aca="false">'9. Weighting'!O29</f>
        <v>27.7777777777778</v>
      </c>
      <c r="K49" s="93" t="str">
        <f aca="false">IF(AND(D50="trifft nicht zu",D51="trifft nicht zu",,D52="trifft nicht zu"),"trifft nicht zu","")</f>
        <v/>
      </c>
      <c r="L49" s="27" t="n">
        <f aca="false">VLOOKUP(O49,$C$102:$E$106,3,FALSE())</f>
        <v>1</v>
      </c>
      <c r="M49" s="27" t="n">
        <f aca="false">VLOOKUP(D49,$C$102:$E$106,3,FALSE())</f>
        <v>1</v>
      </c>
      <c r="N49" s="119" t="str">
        <f aca="false">IF(L49=M49,"",'12.lan'!$D$240&amp;VLOOKUP(L49,$C$102:$D$106,2,FALSE())&amp;" ("&amp;L49&amp;")")</f>
        <v/>
      </c>
      <c r="O49" s="27" t="n">
        <f aca="false">IF(K49="trifft nicht zu",C106,'9. Weighting'!O30)</f>
        <v>1</v>
      </c>
    </row>
    <row r="50" customFormat="false" ht="30" hidden="false" customHeight="true" outlineLevel="0" collapsed="false">
      <c r="A50" s="29"/>
      <c r="B50" s="135" t="s">
        <v>63</v>
      </c>
      <c r="C50" s="120" t="str">
        <f aca="false">'12.lan'!D149</f>
        <v>Food during working hours</v>
      </c>
      <c r="D50" s="121" t="n">
        <f aca="false">C104</f>
        <v>1</v>
      </c>
      <c r="E50" s="129" t="str">
        <f aca="false">VLOOKUP(D50,$C$102:$D$106,2,FALSE())</f>
        <v>medium</v>
      </c>
      <c r="F50" s="123" t="str">
        <f aca="false">'12.lan'!$D$329</f>
        <v>Introduce value between 0 and 10</v>
      </c>
      <c r="G50" s="124"/>
      <c r="H50" s="125" t="n">
        <v>1</v>
      </c>
      <c r="I50" s="126" t="n">
        <f aca="false">IFERROR(J50*H50/10,0)</f>
        <v>0.925925925925926</v>
      </c>
      <c r="J50" s="126" t="n">
        <f aca="false">IFERROR($J$49*K50/(SUM($K$50:$K$52)),0)</f>
        <v>9.25925925925926</v>
      </c>
      <c r="K50" s="27" t="n">
        <f aca="false">VLOOKUP(D50,$C$102:$E$106,3,FALSE())</f>
        <v>1</v>
      </c>
      <c r="L50" s="27" t="n">
        <f aca="false">VLOOKUP(O50,$C$102:$E$106,3,FALSE())</f>
        <v>1</v>
      </c>
      <c r="M50" s="27" t="n">
        <f aca="false">VLOOKUP(D50,$C$102:$E$106,3,FALSE())</f>
        <v>1</v>
      </c>
      <c r="N50" s="119" t="str">
        <f aca="false">IF(L50=M50,"",'12.lan'!$D$240&amp;VLOOKUP(L50,$C$102:$D$106,2,FALSE())&amp;" ("&amp;L50&amp;")")</f>
        <v/>
      </c>
      <c r="O50" s="27" t="n">
        <f aca="false">C104</f>
        <v>1</v>
      </c>
    </row>
    <row r="51" customFormat="false" ht="30" hidden="false" customHeight="true" outlineLevel="0" collapsed="false">
      <c r="A51" s="29"/>
      <c r="B51" s="38" t="s">
        <v>64</v>
      </c>
      <c r="C51" s="48" t="str">
        <f aca="false">'12.lan'!D150</f>
        <v>Travel to work</v>
      </c>
      <c r="D51" s="121" t="n">
        <f aca="false">C104</f>
        <v>1</v>
      </c>
      <c r="E51" s="129" t="str">
        <f aca="false">VLOOKUP(D51,$C$102:$D$106,2,FALSE())</f>
        <v>medium</v>
      </c>
      <c r="F51" s="123" t="str">
        <f aca="false">'12.lan'!$D$329</f>
        <v>Introduce value between 0 and 10</v>
      </c>
      <c r="G51" s="124"/>
      <c r="H51" s="125" t="n">
        <v>2</v>
      </c>
      <c r="I51" s="126" t="n">
        <f aca="false">IFERROR(J51*H51/10,0)</f>
        <v>1.85185185185185</v>
      </c>
      <c r="J51" s="126" t="n">
        <f aca="false">IFERROR($J$49*K51/(SUM($K$50:$K$52)),0)</f>
        <v>9.25925925925926</v>
      </c>
      <c r="K51" s="27" t="n">
        <f aca="false">VLOOKUP(D51,$C$102:$E$106,3,FALSE())</f>
        <v>1</v>
      </c>
      <c r="L51" s="27" t="n">
        <f aca="false">VLOOKUP(O51,$C$102:$E$106,3,FALSE())</f>
        <v>1</v>
      </c>
      <c r="M51" s="27" t="n">
        <f aca="false">VLOOKUP(D51,$C$102:$E$106,3,FALSE())</f>
        <v>1</v>
      </c>
      <c r="N51" s="119" t="str">
        <f aca="false">IF(L51=M51,"",'12.lan'!$D$240&amp;VLOOKUP(L51,$C$102:$D$106,2,FALSE())&amp;" ("&amp;L51&amp;")")</f>
        <v/>
      </c>
      <c r="O51" s="27" t="n">
        <f aca="false">C104</f>
        <v>1</v>
      </c>
    </row>
    <row r="52" customFormat="false" ht="30" hidden="false" customHeight="true" outlineLevel="0" collapsed="false">
      <c r="A52" s="29"/>
      <c r="B52" s="140" t="s">
        <v>65</v>
      </c>
      <c r="C52" s="139" t="str">
        <f aca="false">'12.lan'!D151</f>
        <v>Organisational culture, cultivating awareness for an environmentally-friendly approach</v>
      </c>
      <c r="D52" s="121" t="n">
        <f aca="false">C104</f>
        <v>1</v>
      </c>
      <c r="E52" s="129" t="str">
        <f aca="false">VLOOKUP(D52,$C$102:$D$106,2,FALSE())</f>
        <v>medium</v>
      </c>
      <c r="F52" s="123" t="str">
        <f aca="false">'12.lan'!$D$329</f>
        <v>Introduce value between 0 and 10</v>
      </c>
      <c r="G52" s="124"/>
      <c r="H52" s="125" t="n">
        <v>3</v>
      </c>
      <c r="I52" s="126" t="n">
        <f aca="false">IFERROR(J52*H52/10,0)</f>
        <v>2.77777777777778</v>
      </c>
      <c r="J52" s="126" t="n">
        <f aca="false">IFERROR($J$49*K52/(SUM($K$50:$K$52)),0)</f>
        <v>9.25925925925926</v>
      </c>
      <c r="K52" s="27" t="n">
        <f aca="false">VLOOKUP(D52,$C$102:$E$106,3,FALSE())</f>
        <v>1</v>
      </c>
      <c r="L52" s="27" t="n">
        <f aca="false">VLOOKUP(O52,$C$102:$E$106,3,FALSE())</f>
        <v>1</v>
      </c>
      <c r="M52" s="27" t="n">
        <f aca="false">VLOOKUP(D52,$C$102:$E$106,3,FALSE())</f>
        <v>1</v>
      </c>
      <c r="N52" s="119" t="str">
        <f aca="false">IF(L52=M52,"",'12.lan'!$D$240&amp;VLOOKUP(L52,$C$102:$D$106,2,FALSE())&amp;" ("&amp;L52&amp;")")</f>
        <v/>
      </c>
      <c r="O52" s="27" t="n">
        <f aca="false">C104</f>
        <v>1</v>
      </c>
    </row>
    <row r="53" customFormat="false" ht="33.75" hidden="false" customHeight="true" outlineLevel="0" collapsed="false">
      <c r="A53" s="29"/>
      <c r="B53" s="140" t="s">
        <v>66</v>
      </c>
      <c r="C53" s="139" t="str">
        <f aca="false">'12.lan'!D152</f>
        <v>Negative aspect: guidance on waste/ environmentally damaging practices</v>
      </c>
      <c r="D53" s="121"/>
      <c r="E53" s="129"/>
      <c r="F53" s="123" t="str">
        <f aca="false">'12.lan'!$D$330</f>
        <v>Introduce negative points between 0 and -200</v>
      </c>
      <c r="G53" s="124"/>
      <c r="H53" s="125" t="n">
        <v>0</v>
      </c>
      <c r="I53" s="126" t="n">
        <f aca="false">H53*J49/50</f>
        <v>0</v>
      </c>
      <c r="J53" s="126" t="n">
        <f aca="false">-200*J49/50</f>
        <v>-111.111111111111</v>
      </c>
    </row>
    <row r="54" customFormat="false" ht="33" hidden="false" customHeight="true" outlineLevel="0" collapsed="false">
      <c r="A54" s="29"/>
      <c r="B54" s="112" t="s">
        <v>67</v>
      </c>
      <c r="C54" s="113" t="str">
        <f aca="false">'12.lan'!D153</f>
        <v>Co-determination and transparency within the organisation</v>
      </c>
      <c r="D54" s="114" t="n">
        <f aca="false">IF(K54="trifft nicht zu",C106,'9. Weighting'!P30)</f>
        <v>1</v>
      </c>
      <c r="E54" s="133" t="str">
        <f aca="false">VLOOKUP(D54,$C$102:$D$106,2,FALSE())</f>
        <v>medium</v>
      </c>
      <c r="F54" s="127" t="n">
        <f aca="false">IF(K54="trifft nicht zu","trifft nicht zu",'9. Weighting'!P30)</f>
        <v>1</v>
      </c>
      <c r="G54" s="128"/>
      <c r="H54" s="117" t="n">
        <f aca="false">IF(J54&lt;&gt;0,ROUND(SUM(I55:I58)/J54,1),"-")</f>
        <v>0.2</v>
      </c>
      <c r="I54" s="118" t="n">
        <f aca="false">IF(J54=0,0,H54*J54)</f>
        <v>5.55555555555556</v>
      </c>
      <c r="J54" s="118" t="n">
        <f aca="false">'9. Weighting'!P29</f>
        <v>27.7777777777778</v>
      </c>
      <c r="K54" s="93" t="str">
        <f aca="false">IF(AND(D55="trifft nicht zu",D56="trifft nicht zu",,D57="trifft nicht zu"),"trifft nicht zu","")</f>
        <v/>
      </c>
      <c r="L54" s="27" t="n">
        <f aca="false">VLOOKUP(O54,$C$102:$E$106,3,FALSE())</f>
        <v>1</v>
      </c>
      <c r="M54" s="27" t="n">
        <f aca="false">VLOOKUP(D54,$C$102:$E$106,3,FALSE())</f>
        <v>1</v>
      </c>
      <c r="N54" s="119" t="str">
        <f aca="false">IF(L54=M54,"",'12.lan'!$D$240&amp;VLOOKUP(L54,$C$102:$D$106,2,FALSE())&amp;" ("&amp;L54&amp;")")</f>
        <v/>
      </c>
      <c r="O54" s="27" t="n">
        <f aca="false">IF(K54="trifft nicht zu",C106,'9. Weighting'!P30)</f>
        <v>1</v>
      </c>
    </row>
    <row r="55" customFormat="false" ht="30" hidden="false" customHeight="true" outlineLevel="0" collapsed="false">
      <c r="A55" s="29"/>
      <c r="B55" s="135" t="s">
        <v>68</v>
      </c>
      <c r="C55" s="120" t="str">
        <f aca="false">'12.lan'!D154</f>
        <v>Transparency within the organisation</v>
      </c>
      <c r="D55" s="121" t="n">
        <f aca="false">C104</f>
        <v>1</v>
      </c>
      <c r="E55" s="129" t="str">
        <f aca="false">VLOOKUP(D55,$C$102:$D$106,2,FALSE())</f>
        <v>medium</v>
      </c>
      <c r="F55" s="123" t="str">
        <f aca="false">'12.lan'!$D$329</f>
        <v>Introduce value between 0 and 10</v>
      </c>
      <c r="G55" s="124"/>
      <c r="H55" s="125" t="n">
        <v>1</v>
      </c>
      <c r="I55" s="126" t="n">
        <f aca="false">IFERROR(J55*H55/10,0)</f>
        <v>0.925925925925926</v>
      </c>
      <c r="J55" s="126" t="n">
        <f aca="false">IFERROR($J$54*K55/(SUM($K$55:$K$57)),0)</f>
        <v>9.25925925925926</v>
      </c>
      <c r="K55" s="27" t="n">
        <f aca="false">VLOOKUP(D55,$C$102:$E$106,3,FALSE())</f>
        <v>1</v>
      </c>
      <c r="L55" s="27" t="n">
        <f aca="false">VLOOKUP(O55,$C$102:$E$106,3,FALSE())</f>
        <v>1</v>
      </c>
      <c r="M55" s="27" t="n">
        <f aca="false">VLOOKUP(D55,$C$102:$E$106,3,FALSE())</f>
        <v>1</v>
      </c>
      <c r="N55" s="119" t="str">
        <f aca="false">IF(L55=M55,"",'12.lan'!$D$240&amp;VLOOKUP(L55,$C$102:$D$106,2,FALSE())&amp;" ("&amp;L55&amp;")")</f>
        <v/>
      </c>
      <c r="O55" s="27" t="n">
        <f aca="false">C104</f>
        <v>1</v>
      </c>
    </row>
    <row r="56" customFormat="false" ht="30" hidden="false" customHeight="true" outlineLevel="0" collapsed="false">
      <c r="A56" s="29"/>
      <c r="B56" s="38" t="s">
        <v>69</v>
      </c>
      <c r="C56" s="48" t="str">
        <f aca="false">'12.lan'!D155</f>
        <v>Legitimation of the management</v>
      </c>
      <c r="D56" s="121" t="n">
        <f aca="false">C104</f>
        <v>1</v>
      </c>
      <c r="E56" s="129" t="str">
        <f aca="false">VLOOKUP(D56,$C$102:$D$106,2,FALSE())</f>
        <v>medium</v>
      </c>
      <c r="F56" s="123" t="str">
        <f aca="false">'12.lan'!$D$329</f>
        <v>Introduce value between 0 and 10</v>
      </c>
      <c r="G56" s="124"/>
      <c r="H56" s="125" t="n">
        <v>2</v>
      </c>
      <c r="I56" s="126" t="n">
        <f aca="false">IFERROR(J56*H56/10,0)</f>
        <v>1.85185185185185</v>
      </c>
      <c r="J56" s="126" t="n">
        <f aca="false">IFERROR($J$54*K56/(SUM($K$55:$K$57)),0)</f>
        <v>9.25925925925926</v>
      </c>
      <c r="K56" s="27" t="n">
        <f aca="false">VLOOKUP(D56,$C$102:$E$106,3,FALSE())</f>
        <v>1</v>
      </c>
      <c r="L56" s="27" t="n">
        <f aca="false">VLOOKUP(O56,$C$102:$E$106,3,FALSE())</f>
        <v>1</v>
      </c>
      <c r="M56" s="27" t="n">
        <f aca="false">VLOOKUP(D56,$C$102:$E$106,3,FALSE())</f>
        <v>1</v>
      </c>
      <c r="N56" s="119" t="str">
        <f aca="false">IF(L56=M56,"",'12.lan'!$D$240&amp;VLOOKUP(L56,$C$102:$D$106,2,FALSE())&amp;" ("&amp;L56&amp;")")</f>
        <v/>
      </c>
      <c r="O56" s="27" t="n">
        <f aca="false">C104</f>
        <v>1</v>
      </c>
    </row>
    <row r="57" customFormat="false" ht="30" hidden="false" customHeight="true" outlineLevel="0" collapsed="false">
      <c r="A57" s="29"/>
      <c r="B57" s="38" t="s">
        <v>70</v>
      </c>
      <c r="C57" s="48" t="str">
        <f aca="false">'12.lan'!D156</f>
        <v>Employee co-determination</v>
      </c>
      <c r="D57" s="121" t="n">
        <f aca="false">C104</f>
        <v>1</v>
      </c>
      <c r="E57" s="129" t="str">
        <f aca="false">VLOOKUP(D57,$C$102:$D$106,2,FALSE())</f>
        <v>medium</v>
      </c>
      <c r="F57" s="123" t="str">
        <f aca="false">'12.lan'!$D$329</f>
        <v>Introduce value between 0 and 10</v>
      </c>
      <c r="G57" s="124"/>
      <c r="H57" s="125" t="n">
        <v>3</v>
      </c>
      <c r="I57" s="126" t="n">
        <f aca="false">IFERROR(J57*H57/10,0)</f>
        <v>2.77777777777778</v>
      </c>
      <c r="J57" s="126" t="n">
        <f aca="false">IFERROR($J$54*K57/(SUM($K$55:$K$57)),0)</f>
        <v>9.25925925925926</v>
      </c>
      <c r="K57" s="27" t="n">
        <f aca="false">VLOOKUP(D57,$C$102:$E$106,3,FALSE())</f>
        <v>1</v>
      </c>
      <c r="L57" s="27" t="n">
        <f aca="false">VLOOKUP(O57,$C$102:$E$106,3,FALSE())</f>
        <v>1</v>
      </c>
      <c r="M57" s="27" t="n">
        <f aca="false">VLOOKUP(D57,$C$102:$E$106,3,FALSE())</f>
        <v>1</v>
      </c>
      <c r="N57" s="119" t="str">
        <f aca="false">IF(L57=M57,"",'12.lan'!$D$240&amp;VLOOKUP(L57,$C$102:$D$106,2,FALSE())&amp;" ("&amp;L57&amp;")")</f>
        <v/>
      </c>
      <c r="O57" s="27" t="n">
        <f aca="false">C104</f>
        <v>1</v>
      </c>
    </row>
    <row r="58" customFormat="false" ht="30" hidden="false" customHeight="true" outlineLevel="0" collapsed="false">
      <c r="A58" s="29"/>
      <c r="B58" s="141" t="s">
        <v>71</v>
      </c>
      <c r="C58" s="142" t="str">
        <f aca="false">'12.lan'!D157</f>
        <v>Negative aspect: obstruction of works councils</v>
      </c>
      <c r="D58" s="121"/>
      <c r="E58" s="129"/>
      <c r="F58" s="123" t="str">
        <f aca="false">'12.lan'!$D$330</f>
        <v>Introduce negative points between 0 and -200</v>
      </c>
      <c r="G58" s="124"/>
      <c r="H58" s="125" t="n">
        <v>0</v>
      </c>
      <c r="I58" s="126" t="n">
        <f aca="false">H58*J54/50</f>
        <v>0</v>
      </c>
      <c r="J58" s="126" t="n">
        <f aca="false">-200*J54/50</f>
        <v>-111.111111111111</v>
      </c>
    </row>
    <row r="59" customFormat="false" ht="36" hidden="false" customHeight="true" outlineLevel="0" collapsed="false">
      <c r="A59" s="29"/>
      <c r="B59" s="105" t="s">
        <v>72</v>
      </c>
      <c r="C59" s="105" t="str">
        <f aca="false">'12.lan'!D158</f>
        <v>Customers and other companies</v>
      </c>
      <c r="D59" s="130" t="n">
        <f aca="false">L59</f>
        <v>1</v>
      </c>
      <c r="E59" s="131" t="str">
        <f aca="false">VLOOKUP(D59,$C$102:$D$106,2,FALSE())</f>
        <v>medium</v>
      </c>
      <c r="F59" s="132"/>
      <c r="G59" s="132"/>
      <c r="H59" s="109" t="n">
        <f aca="false">IFERROR(I59/J59,0)</f>
        <v>0.1</v>
      </c>
      <c r="I59" s="110" t="n">
        <f aca="false">I60+I64+I68+I72</f>
        <v>22.2222222222222</v>
      </c>
      <c r="J59" s="110" t="n">
        <f aca="false">J60+J64+J68+J72</f>
        <v>222.222222222222</v>
      </c>
      <c r="L59" s="27" t="n">
        <f aca="false">'9. Weighting'!K52</f>
        <v>1</v>
      </c>
      <c r="N59" s="111" t="str">
        <f aca="false">IF(D59&lt;&gt;L59,'12.lan'!$D$240&amp;VLOOKUP(L59,$C$102:$D$106,2,FALSE())&amp;" ("&amp;L59&amp;")","")</f>
        <v/>
      </c>
    </row>
    <row r="60" customFormat="false" ht="33" hidden="false" customHeight="true" outlineLevel="0" collapsed="false">
      <c r="A60" s="29"/>
      <c r="B60" s="112" t="s">
        <v>73</v>
      </c>
      <c r="C60" s="113" t="str">
        <f aca="false">'12.lan'!D159</f>
        <v>Ethical customer relations</v>
      </c>
      <c r="D60" s="114" t="n">
        <f aca="false">IF(K60="trifft nicht zu",C106,'9. Weighting'!M37)</f>
        <v>1</v>
      </c>
      <c r="E60" s="133" t="str">
        <f aca="false">VLOOKUP(D60,$C$102:$D$106,2,FALSE())</f>
        <v>medium</v>
      </c>
      <c r="F60" s="127" t="n">
        <f aca="false">IF(K60="trifft nicht zu","trifft nicht zu",'9. Weighting'!M37)</f>
        <v>1</v>
      </c>
      <c r="G60" s="128"/>
      <c r="H60" s="117" t="n">
        <f aca="false">IF(J60&lt;&gt;0,ROUND(SUM(I61:I63)/J60,1),"-")</f>
        <v>0</v>
      </c>
      <c r="I60" s="118" t="n">
        <f aca="false">IF(J60=0,0,H60*J60)</f>
        <v>0</v>
      </c>
      <c r="J60" s="118" t="n">
        <f aca="false">'9. Weighting'!M36</f>
        <v>55.5555555555556</v>
      </c>
      <c r="K60" s="93" t="str">
        <f aca="false">IF(AND(D61="trifft nicht zu",D62="trifft nicht zu"),"trifft nicht zu","")</f>
        <v/>
      </c>
      <c r="L60" s="27" t="n">
        <f aca="false">VLOOKUP(O60,$C$102:$E$106,3,FALSE())</f>
        <v>1</v>
      </c>
      <c r="M60" s="27" t="n">
        <f aca="false">VLOOKUP(D60,$C$102:$E$106,3,FALSE())</f>
        <v>1</v>
      </c>
      <c r="N60" s="119" t="str">
        <f aca="false">IF(L60=M60,"",'12.lan'!$D$240&amp;VLOOKUP(L60,$C$102:$D$106,2,FALSE())&amp;" ("&amp;L60&amp;")")</f>
        <v/>
      </c>
      <c r="O60" s="27" t="n">
        <f aca="false">IF(K60="trifft nicht zu",C106,'9. Weighting'!M37)</f>
        <v>1</v>
      </c>
    </row>
    <row r="61" customFormat="false" ht="30" hidden="false" customHeight="true" outlineLevel="0" collapsed="false">
      <c r="A61" s="29"/>
      <c r="B61" s="120" t="s">
        <v>74</v>
      </c>
      <c r="C61" s="120" t="str">
        <f aca="false">'12.lan'!D160</f>
        <v>Respect for human dignity in communication with customers</v>
      </c>
      <c r="D61" s="121" t="n">
        <f aca="false">C104</f>
        <v>1</v>
      </c>
      <c r="E61" s="129" t="str">
        <f aca="false">VLOOKUP(D61,$C$102:$D$106,2,FALSE())</f>
        <v>medium</v>
      </c>
      <c r="F61" s="123" t="str">
        <f aca="false">'12.lan'!$D$329</f>
        <v>Introduce value between 0 and 10</v>
      </c>
      <c r="G61" s="124"/>
      <c r="H61" s="125" t="n">
        <v>0</v>
      </c>
      <c r="I61" s="126" t="n">
        <f aca="false">IFERROR(J61*H61/10,0)</f>
        <v>0</v>
      </c>
      <c r="J61" s="126" t="n">
        <f aca="false">IFERROR($J$60*K61/(SUM($K$61:$K$62)),0)</f>
        <v>27.7777777777778</v>
      </c>
      <c r="K61" s="27" t="n">
        <f aca="false">VLOOKUP(D61,$C$102:$E$106,3,FALSE())</f>
        <v>1</v>
      </c>
      <c r="L61" s="27" t="n">
        <f aca="false">VLOOKUP(O61,$C$102:$E$106,3,FALSE())</f>
        <v>1</v>
      </c>
      <c r="M61" s="27" t="n">
        <f aca="false">VLOOKUP(D61,$C$102:$E$106,3,FALSE())</f>
        <v>1</v>
      </c>
      <c r="N61" s="119" t="str">
        <f aca="false">IF(L61=M61,"",'12.lan'!$D$240&amp;VLOOKUP(L61,$C$102:$D$106,2,FALSE())&amp;" ("&amp;L61&amp;")")</f>
        <v/>
      </c>
      <c r="O61" s="27" t="n">
        <f aca="false">C104</f>
        <v>1</v>
      </c>
    </row>
    <row r="62" customFormat="false" ht="30" hidden="false" customHeight="true" outlineLevel="0" collapsed="false">
      <c r="A62" s="29"/>
      <c r="B62" s="38" t="s">
        <v>75</v>
      </c>
      <c r="C62" s="48" t="str">
        <f aca="false">'12.lan'!D161</f>
        <v>Barrier-free access</v>
      </c>
      <c r="D62" s="121" t="n">
        <f aca="false">C104</f>
        <v>1</v>
      </c>
      <c r="E62" s="129" t="str">
        <f aca="false">VLOOKUP(D62,$C$102:$D$106,2,FALSE())</f>
        <v>medium</v>
      </c>
      <c r="F62" s="123" t="str">
        <f aca="false">'12.lan'!$D$329</f>
        <v>Introduce value between 0 and 10</v>
      </c>
      <c r="G62" s="124"/>
      <c r="H62" s="125" t="n">
        <v>0</v>
      </c>
      <c r="I62" s="126" t="n">
        <f aca="false">IFERROR(J62*H62/10,0)</f>
        <v>0</v>
      </c>
      <c r="J62" s="126" t="n">
        <f aca="false">IFERROR($J$60*K62/(SUM($K$61:$K$62)),0)</f>
        <v>27.7777777777778</v>
      </c>
      <c r="K62" s="27" t="n">
        <f aca="false">VLOOKUP(D62,$C$102:$E$106,3,FALSE())</f>
        <v>1</v>
      </c>
      <c r="L62" s="27" t="n">
        <f aca="false">VLOOKUP(O62,$C$102:$E$106,3,FALSE())</f>
        <v>1</v>
      </c>
      <c r="M62" s="27" t="n">
        <f aca="false">VLOOKUP(D62,$C$102:$E$106,3,FALSE())</f>
        <v>1</v>
      </c>
      <c r="N62" s="119" t="str">
        <f aca="false">IF(L62=M62,"",'12.lan'!$D$240&amp;VLOOKUP(L62,$C$102:$D$106,2,FALSE())&amp;" ("&amp;L62&amp;")")</f>
        <v/>
      </c>
      <c r="O62" s="27" t="n">
        <f aca="false">C104</f>
        <v>1</v>
      </c>
    </row>
    <row r="63" customFormat="false" ht="30" hidden="false" customHeight="true" outlineLevel="0" collapsed="false">
      <c r="A63" s="29"/>
      <c r="B63" s="48" t="s">
        <v>76</v>
      </c>
      <c r="C63" s="48" t="str">
        <f aca="false">'12.lan'!D162</f>
        <v>Negative aspect: unethical advertising</v>
      </c>
      <c r="D63" s="121"/>
      <c r="E63" s="129"/>
      <c r="F63" s="123" t="str">
        <f aca="false">'12.lan'!$D$330</f>
        <v>Introduce negative points between 0 and -200</v>
      </c>
      <c r="G63" s="124"/>
      <c r="H63" s="125" t="n">
        <v>0</v>
      </c>
      <c r="I63" s="126" t="n">
        <f aca="false">H63*J60/50</f>
        <v>0</v>
      </c>
      <c r="J63" s="126" t="n">
        <f aca="false">-200*J60/50</f>
        <v>-222.222222222222</v>
      </c>
    </row>
    <row r="64" customFormat="false" ht="33" hidden="false" customHeight="true" outlineLevel="0" collapsed="false">
      <c r="A64" s="29"/>
      <c r="B64" s="112" t="s">
        <v>77</v>
      </c>
      <c r="C64" s="113" t="str">
        <f aca="false">'12.lan'!D163</f>
        <v>Cooperation and solidarity with other companies</v>
      </c>
      <c r="D64" s="114" t="n">
        <f aca="false">IF(K64="trifft nicht zu",C106,'9. Weighting'!N37)</f>
        <v>1</v>
      </c>
      <c r="E64" s="133" t="str">
        <f aca="false">VLOOKUP(D64,$C$102:$D$106,2,FALSE())</f>
        <v>medium</v>
      </c>
      <c r="F64" s="127" t="n">
        <f aca="false">IF(K64="trifft nicht zu","trifft nicht zu",'9. Weighting'!N37)</f>
        <v>1</v>
      </c>
      <c r="G64" s="128"/>
      <c r="H64" s="117" t="n">
        <f aca="false">IF(J64&lt;&gt;0,ROUND(SUM(I65:I67)/J64,1),"-")</f>
        <v>0.4</v>
      </c>
      <c r="I64" s="118" t="n">
        <f aca="false">IF(J64=0,0,H64*J64)</f>
        <v>22.2222222222222</v>
      </c>
      <c r="J64" s="118" t="n">
        <f aca="false">'9. Weighting'!N36</f>
        <v>55.5555555555556</v>
      </c>
      <c r="K64" s="93" t="str">
        <f aca="false">IF(AND(D65="trifft nicht zu",D66="trifft nicht zu"),"trifft nicht zu","")</f>
        <v/>
      </c>
      <c r="L64" s="27" t="n">
        <f aca="false">VLOOKUP(O64,$C$102:$E$106,3,FALSE())</f>
        <v>1</v>
      </c>
      <c r="M64" s="27" t="n">
        <f aca="false">VLOOKUP(D64,$C$102:$E$106,3,FALSE())</f>
        <v>1</v>
      </c>
      <c r="N64" s="119" t="str">
        <f aca="false">IF(L64=M64,"",'12.lan'!$D$240&amp;VLOOKUP(L64,$C$102:$D$106,2,FALSE())&amp;" ("&amp;L64&amp;")")</f>
        <v/>
      </c>
      <c r="O64" s="27" t="n">
        <f aca="false">IF(K64="trifft nicht zu",C106,'9. Weighting'!N37)</f>
        <v>1</v>
      </c>
    </row>
    <row r="65" customFormat="false" ht="30" hidden="false" customHeight="true" outlineLevel="0" collapsed="false">
      <c r="A65" s="29"/>
      <c r="B65" s="120" t="s">
        <v>78</v>
      </c>
      <c r="C65" s="120" t="str">
        <f aca="false">'12.lan'!D164</f>
        <v>Cooperation with other companies</v>
      </c>
      <c r="D65" s="121" t="n">
        <f aca="false">C104</f>
        <v>1</v>
      </c>
      <c r="E65" s="129" t="str">
        <f aca="false">VLOOKUP(D65,$C$102:$D$106,2,FALSE())</f>
        <v>medium</v>
      </c>
      <c r="F65" s="123" t="str">
        <f aca="false">'12.lan'!$D$329</f>
        <v>Introduce value between 0 and 10</v>
      </c>
      <c r="G65" s="124"/>
      <c r="H65" s="125" t="n">
        <v>2</v>
      </c>
      <c r="I65" s="126" t="n">
        <f aca="false">IFERROR(J65*H65/10,0)</f>
        <v>5.55555555555556</v>
      </c>
      <c r="J65" s="126" t="n">
        <f aca="false">IFERROR($J$64*K65/(SUM($K$65:$K$66)),0)</f>
        <v>27.7777777777778</v>
      </c>
      <c r="K65" s="27" t="n">
        <f aca="false">VLOOKUP(D65,$C$102:$E$106,3,FALSE())</f>
        <v>1</v>
      </c>
      <c r="L65" s="27" t="n">
        <f aca="false">VLOOKUP(O65,$C$102:$E$106,3,FALSE())</f>
        <v>1</v>
      </c>
      <c r="M65" s="27" t="n">
        <f aca="false">VLOOKUP(D65,$C$102:$E$106,3,FALSE())</f>
        <v>1</v>
      </c>
      <c r="N65" s="119" t="str">
        <f aca="false">IF(L65=M65,"",'12.lan'!$D$240&amp;VLOOKUP(L65,$C$102:$D$106,2,FALSE())&amp;" ("&amp;L65&amp;")")</f>
        <v/>
      </c>
      <c r="O65" s="27" t="n">
        <f aca="false">C104</f>
        <v>1</v>
      </c>
    </row>
    <row r="66" customFormat="false" ht="30" hidden="false" customHeight="true" outlineLevel="0" collapsed="false">
      <c r="A66" s="29"/>
      <c r="B66" s="48" t="s">
        <v>79</v>
      </c>
      <c r="C66" s="48" t="str">
        <f aca="false">'12.lan'!D165</f>
        <v>Solidarity with other companies</v>
      </c>
      <c r="D66" s="121" t="n">
        <f aca="false">C104</f>
        <v>1</v>
      </c>
      <c r="E66" s="129" t="str">
        <f aca="false">VLOOKUP(D66,$C$102:$D$106,2,FALSE())</f>
        <v>medium</v>
      </c>
      <c r="F66" s="123" t="str">
        <f aca="false">'12.lan'!$D$329</f>
        <v>Introduce value between 0 and 10</v>
      </c>
      <c r="G66" s="124"/>
      <c r="H66" s="125" t="n">
        <v>6</v>
      </c>
      <c r="I66" s="126" t="n">
        <f aca="false">IFERROR(J66*H66/10,0)</f>
        <v>16.6666666666667</v>
      </c>
      <c r="J66" s="126" t="n">
        <f aca="false">IFERROR($J$64*K66/(SUM($K$65:$K$66)),0)</f>
        <v>27.7777777777778</v>
      </c>
      <c r="K66" s="27" t="n">
        <f aca="false">VLOOKUP(D66,$C$102:$E$106,3,FALSE())</f>
        <v>1</v>
      </c>
      <c r="L66" s="27" t="n">
        <f aca="false">VLOOKUP(O66,$C$102:$E$106,3,FALSE())</f>
        <v>1</v>
      </c>
      <c r="M66" s="27" t="n">
        <f aca="false">VLOOKUP(D66,$C$102:$E$106,3,FALSE())</f>
        <v>1</v>
      </c>
      <c r="N66" s="119" t="str">
        <f aca="false">IF(L66=M66,"",'12.lan'!$D$240&amp;VLOOKUP(L66,$C$102:$D$106,2,FALSE())&amp;" ("&amp;L66&amp;")")</f>
        <v/>
      </c>
      <c r="O66" s="27" t="n">
        <f aca="false">C104</f>
        <v>1</v>
      </c>
    </row>
    <row r="67" customFormat="false" ht="33.75" hidden="false" customHeight="true" outlineLevel="0" collapsed="false">
      <c r="A67" s="29"/>
      <c r="B67" s="139" t="s">
        <v>80</v>
      </c>
      <c r="C67" s="139" t="str">
        <f aca="false">'12.lan'!D166</f>
        <v>Negative aspect: abuse of market power to the detriment of other companies</v>
      </c>
      <c r="D67" s="121"/>
      <c r="E67" s="129"/>
      <c r="F67" s="123" t="str">
        <f aca="false">'12.lan'!$D$330</f>
        <v>Introduce negative points between 0 and -200</v>
      </c>
      <c r="G67" s="143"/>
      <c r="H67" s="125" t="n">
        <v>0</v>
      </c>
      <c r="I67" s="126" t="n">
        <f aca="false">H67*J64/50</f>
        <v>0</v>
      </c>
      <c r="J67" s="126" t="n">
        <f aca="false">-200*J64/50</f>
        <v>-222.222222222222</v>
      </c>
    </row>
    <row r="68" customFormat="false" ht="36" hidden="false" customHeight="true" outlineLevel="0" collapsed="false">
      <c r="A68" s="29"/>
      <c r="B68" s="112" t="s">
        <v>81</v>
      </c>
      <c r="C68" s="144" t="str">
        <f aca="false">'12.lan'!D167</f>
        <v>Impact on the environment of the use and disposal of products and services</v>
      </c>
      <c r="D68" s="114" t="n">
        <f aca="false">IF(K68="trifft nicht zu",C106,'9. Weighting'!O37)</f>
        <v>1</v>
      </c>
      <c r="E68" s="133" t="str">
        <f aca="false">VLOOKUP(D68,$C$102:$D$106,2,FALSE())</f>
        <v>medium</v>
      </c>
      <c r="F68" s="127" t="n">
        <f aca="false">IF(K68="trifft nicht zu","trifft nicht zu",'9. Weighting'!O37)</f>
        <v>1</v>
      </c>
      <c r="G68" s="145"/>
      <c r="H68" s="117" t="n">
        <f aca="false">IF(J68&lt;&gt;0,ROUND(SUM(I69:I71)/J68,1),"-")</f>
        <v>0</v>
      </c>
      <c r="I68" s="118" t="n">
        <f aca="false">IF(J68=0,0,H68*J68)</f>
        <v>0</v>
      </c>
      <c r="J68" s="118" t="n">
        <f aca="false">'9. Weighting'!O36</f>
        <v>55.5555555555556</v>
      </c>
      <c r="K68" s="93" t="str">
        <f aca="false">IF(AND(D69="trifft nicht zu",D70="trifft nicht zu"),"trifft nicht zu","")</f>
        <v/>
      </c>
      <c r="L68" s="27" t="n">
        <f aca="false">VLOOKUP(O68,$C$102:$E$106,3,FALSE())</f>
        <v>1</v>
      </c>
      <c r="M68" s="27" t="n">
        <f aca="false">VLOOKUP(D68,$C$102:$E$106,3,FALSE())</f>
        <v>1</v>
      </c>
      <c r="N68" s="119" t="str">
        <f aca="false">IF(L68=M68,"",'12.lan'!$D$240&amp;VLOOKUP(L68,$C$102:$D$106,2,FALSE())&amp;" ("&amp;L68&amp;")")</f>
        <v/>
      </c>
      <c r="O68" s="27" t="n">
        <f aca="false">IF(K68="trifft nicht zu",C106,'9. Weighting'!O37)</f>
        <v>1</v>
      </c>
    </row>
    <row r="69" customFormat="false" ht="33.75" hidden="false" customHeight="true" outlineLevel="0" collapsed="false">
      <c r="A69" s="29"/>
      <c r="B69" s="120" t="s">
        <v>82</v>
      </c>
      <c r="C69" s="120" t="str">
        <f aca="false">'12.lan'!D168</f>
        <v>Environmental cost-benefit ration of products and services (efficiency and consistency) </v>
      </c>
      <c r="D69" s="121" t="n">
        <f aca="false">C104</f>
        <v>1</v>
      </c>
      <c r="E69" s="129" t="str">
        <f aca="false">VLOOKUP(D69,$C$102:$D$106,2,FALSE())</f>
        <v>medium</v>
      </c>
      <c r="F69" s="123" t="str">
        <f aca="false">'12.lan'!$D$329</f>
        <v>Introduce value between 0 and 10</v>
      </c>
      <c r="G69" s="124"/>
      <c r="H69" s="125" t="n">
        <v>0</v>
      </c>
      <c r="I69" s="126" t="n">
        <f aca="false">IFERROR(J69*H69/10,0)</f>
        <v>0</v>
      </c>
      <c r="J69" s="126" t="n">
        <f aca="false">IFERROR($J$68*K69/(SUM($K$69:$K$70)),0)</f>
        <v>27.7777777777778</v>
      </c>
      <c r="K69" s="27" t="n">
        <f aca="false">VLOOKUP(D69,$C$102:$E$106,3,FALSE())</f>
        <v>1</v>
      </c>
      <c r="L69" s="27" t="n">
        <f aca="false">VLOOKUP(O69,$C$102:$E$106,3,FALSE())</f>
        <v>1</v>
      </c>
      <c r="M69" s="27" t="n">
        <f aca="false">VLOOKUP(D69,$C$102:$E$106,3,FALSE())</f>
        <v>1</v>
      </c>
      <c r="N69" s="119" t="str">
        <f aca="false">IF(L69=M69,"",'12.lan'!$D$240&amp;VLOOKUP(L69,$C$102:$D$106,2,FALSE())&amp;" ("&amp;L69&amp;")")</f>
        <v/>
      </c>
      <c r="O69" s="27" t="n">
        <f aca="false">C104</f>
        <v>1</v>
      </c>
    </row>
    <row r="70" customFormat="false" ht="30" hidden="false" customHeight="true" outlineLevel="0" collapsed="false">
      <c r="A70" s="29"/>
      <c r="B70" s="48" t="s">
        <v>83</v>
      </c>
      <c r="C70" s="48" t="str">
        <f aca="false">'12.lan'!D169</f>
        <v>Moderate use of products and services (sufficiency)</v>
      </c>
      <c r="D70" s="121" t="n">
        <f aca="false">C104</f>
        <v>1</v>
      </c>
      <c r="E70" s="129" t="str">
        <f aca="false">VLOOKUP(D70,$C$102:$D$106,2,FALSE())</f>
        <v>medium</v>
      </c>
      <c r="F70" s="123" t="str">
        <f aca="false">'12.lan'!$D$329</f>
        <v>Introduce value between 0 and 10</v>
      </c>
      <c r="G70" s="124"/>
      <c r="H70" s="125" t="n">
        <v>0</v>
      </c>
      <c r="I70" s="126" t="n">
        <f aca="false">IFERROR(J70*H70/10,0)</f>
        <v>0</v>
      </c>
      <c r="J70" s="126" t="n">
        <f aca="false">IFERROR($J$68*K70/(SUM($K$69:$K$70)),0)</f>
        <v>27.7777777777778</v>
      </c>
      <c r="K70" s="27" t="n">
        <f aca="false">VLOOKUP(D70,$C$102:$E$106,3,FALSE())</f>
        <v>1</v>
      </c>
      <c r="L70" s="27" t="n">
        <f aca="false">VLOOKUP(O70,$C$102:$E$106,3,FALSE())</f>
        <v>1</v>
      </c>
      <c r="M70" s="27" t="n">
        <f aca="false">VLOOKUP(D70,$C$102:$E$106,3,FALSE())</f>
        <v>1</v>
      </c>
      <c r="N70" s="119" t="str">
        <f aca="false">IF(L70=M70,"",'12.lan'!$D$240&amp;VLOOKUP(L70,$C$102:$D$106,2,FALSE())&amp;" ("&amp;L70&amp;")")</f>
        <v/>
      </c>
      <c r="O70" s="27" t="n">
        <f aca="false">C104</f>
        <v>1</v>
      </c>
    </row>
    <row r="71" customFormat="false" ht="33" hidden="false" customHeight="true" outlineLevel="0" collapsed="false">
      <c r="A71" s="29"/>
      <c r="B71" s="139" t="s">
        <v>84</v>
      </c>
      <c r="C71" s="139" t="str">
        <f aca="false">'12.lan'!D170</f>
        <v>Negative aspect: wilful disregard of disproportionate environmental impacts</v>
      </c>
      <c r="D71" s="121"/>
      <c r="E71" s="129"/>
      <c r="F71" s="123" t="str">
        <f aca="false">'12.lan'!$D$330</f>
        <v>Introduce negative points between 0 and -200</v>
      </c>
      <c r="G71" s="124"/>
      <c r="H71" s="125" t="n">
        <v>0</v>
      </c>
      <c r="I71" s="126" t="n">
        <f aca="false">H71*J68/50</f>
        <v>0</v>
      </c>
      <c r="J71" s="126" t="n">
        <f aca="false">-200*J68/50</f>
        <v>-222.222222222222</v>
      </c>
    </row>
    <row r="72" customFormat="false" ht="33" hidden="false" customHeight="true" outlineLevel="0" collapsed="false">
      <c r="A72" s="29"/>
      <c r="B72" s="112" t="s">
        <v>85</v>
      </c>
      <c r="C72" s="113" t="str">
        <f aca="false">'12.lan'!D171</f>
        <v>Customer participation and product transparency</v>
      </c>
      <c r="D72" s="114" t="n">
        <f aca="false">IF(K72="trifft nicht zu",C106,'9. Weighting'!P37)</f>
        <v>1</v>
      </c>
      <c r="E72" s="133" t="str">
        <f aca="false">VLOOKUP(D72,$C$102:$D$106,2,FALSE())</f>
        <v>medium</v>
      </c>
      <c r="F72" s="127" t="n">
        <f aca="false">IF(K72="trifft nicht zu","trifft nicht zu",'9. Weighting'!P37)</f>
        <v>1</v>
      </c>
      <c r="G72" s="128"/>
      <c r="H72" s="117" t="n">
        <f aca="false">IF(J72&lt;&gt;0,ROUND(SUM(I73:I75)/J72,1),"-")</f>
        <v>0</v>
      </c>
      <c r="I72" s="118" t="n">
        <f aca="false">IF(J72=0,0,H72*J72)</f>
        <v>0</v>
      </c>
      <c r="J72" s="118" t="n">
        <f aca="false">'9. Weighting'!P36</f>
        <v>55.5555555555556</v>
      </c>
      <c r="K72" s="93" t="str">
        <f aca="false">IF(AND(D73="trifft nicht zu",D74="trifft nicht zu"),"trifft nicht zu","")</f>
        <v/>
      </c>
      <c r="L72" s="27" t="n">
        <f aca="false">VLOOKUP(O72,$C$102:$E$106,3,FALSE())</f>
        <v>1</v>
      </c>
      <c r="M72" s="27" t="n">
        <f aca="false">VLOOKUP(D72,$C$102:$E$106,3,FALSE())</f>
        <v>1</v>
      </c>
      <c r="N72" s="119" t="str">
        <f aca="false">IF(L72=M72,"",'12.lan'!$D$240&amp;VLOOKUP(L72,$C$102:$D$106,2,FALSE())&amp;" ("&amp;L72&amp;")")</f>
        <v/>
      </c>
      <c r="O72" s="27" t="n">
        <f aca="false">IF(K72="trifft nicht zu",C106,'9. Weighting'!P37)</f>
        <v>1</v>
      </c>
    </row>
    <row r="73" customFormat="false" ht="33.75" hidden="false" customHeight="true" outlineLevel="0" collapsed="false">
      <c r="A73" s="29"/>
      <c r="B73" s="120" t="s">
        <v>86</v>
      </c>
      <c r="C73" s="120" t="str">
        <f aca="false">'12.lan'!D172</f>
        <v>Customer participation, joint product development and market research</v>
      </c>
      <c r="D73" s="121" t="n">
        <f aca="false">C104</f>
        <v>1</v>
      </c>
      <c r="E73" s="129" t="str">
        <f aca="false">VLOOKUP(D73,$C$102:$D$106,2,FALSE())</f>
        <v>medium</v>
      </c>
      <c r="F73" s="123" t="str">
        <f aca="false">'12.lan'!$D$329</f>
        <v>Introduce value between 0 and 10</v>
      </c>
      <c r="G73" s="124"/>
      <c r="H73" s="125" t="n">
        <v>0</v>
      </c>
      <c r="I73" s="126" t="n">
        <f aca="false">IFERROR(J73*H73/10,0)</f>
        <v>0</v>
      </c>
      <c r="J73" s="126" t="n">
        <f aca="false">IFERROR($J$72*K73/(SUM($K$73:$K$74)),0)</f>
        <v>27.7777777777778</v>
      </c>
      <c r="K73" s="27" t="n">
        <f aca="false">VLOOKUP(D73,$C$102:$E$106,3,FALSE())</f>
        <v>1</v>
      </c>
      <c r="L73" s="27" t="n">
        <f aca="false">VLOOKUP(O73,$C$102:$E$106,3,FALSE())</f>
        <v>1</v>
      </c>
      <c r="M73" s="27" t="n">
        <f aca="false">VLOOKUP(D73,$C$102:$E$106,3,FALSE())</f>
        <v>1</v>
      </c>
      <c r="N73" s="119" t="str">
        <f aca="false">IF(L73=M73,"",'12.lan'!$D$240&amp;VLOOKUP(L73,$C$102:$D$106,2,FALSE())&amp;" ("&amp;L73&amp;")")</f>
        <v/>
      </c>
      <c r="O73" s="27" t="n">
        <f aca="false">C104</f>
        <v>1</v>
      </c>
    </row>
    <row r="74" customFormat="false" ht="30" hidden="false" customHeight="true" outlineLevel="0" collapsed="false">
      <c r="A74" s="29"/>
      <c r="B74" s="139" t="s">
        <v>87</v>
      </c>
      <c r="C74" s="139" t="str">
        <f aca="false">'12.lan'!D173</f>
        <v>Product transparency</v>
      </c>
      <c r="D74" s="121" t="n">
        <f aca="false">C104</f>
        <v>1</v>
      </c>
      <c r="E74" s="129" t="str">
        <f aca="false">VLOOKUP(D74,$C$102:$D$106,2,FALSE())</f>
        <v>medium</v>
      </c>
      <c r="F74" s="123" t="str">
        <f aca="false">'12.lan'!$D$329</f>
        <v>Introduce value between 0 and 10</v>
      </c>
      <c r="G74" s="124"/>
      <c r="H74" s="125" t="n">
        <v>0</v>
      </c>
      <c r="I74" s="126" t="n">
        <f aca="false">IFERROR(J74*H74/10,0)</f>
        <v>0</v>
      </c>
      <c r="J74" s="126" t="n">
        <f aca="false">IFERROR($J$72*K74/(SUM($K$73:$K$74)),0)</f>
        <v>27.7777777777778</v>
      </c>
      <c r="K74" s="27" t="n">
        <f aca="false">VLOOKUP(D74,$C$102:$E$106,3,FALSE())</f>
        <v>1</v>
      </c>
      <c r="L74" s="27" t="n">
        <f aca="false">VLOOKUP(O74,$C$102:$E$106,3,FALSE())</f>
        <v>1</v>
      </c>
      <c r="M74" s="27" t="n">
        <f aca="false">VLOOKUP(D74,$C$102:$E$106,3,FALSE())</f>
        <v>1</v>
      </c>
      <c r="N74" s="119" t="str">
        <f aca="false">IF(L74=M74,"",'12.lan'!$D$240&amp;VLOOKUP(L74,$C$102:$D$106,2,FALSE())&amp;" ("&amp;L74&amp;")")</f>
        <v/>
      </c>
      <c r="O74" s="27" t="n">
        <f aca="false">C104</f>
        <v>1</v>
      </c>
    </row>
    <row r="75" customFormat="false" ht="30" hidden="false" customHeight="true" outlineLevel="0" collapsed="false">
      <c r="A75" s="29"/>
      <c r="B75" s="139" t="s">
        <v>87</v>
      </c>
      <c r="C75" s="139" t="str">
        <f aca="false">'12.lan'!D174</f>
        <v>Negative aspect: non-disclosure of hazardous substances</v>
      </c>
      <c r="D75" s="121"/>
      <c r="E75" s="129"/>
      <c r="F75" s="123" t="str">
        <f aca="false">'12.lan'!$D$330</f>
        <v>Introduce negative points between 0 and -200</v>
      </c>
      <c r="G75" s="124"/>
      <c r="H75" s="125" t="n">
        <v>0</v>
      </c>
      <c r="I75" s="126" t="n">
        <f aca="false">H75*J72/50</f>
        <v>0</v>
      </c>
      <c r="J75" s="126" t="n">
        <f aca="false">-200*J72/50</f>
        <v>-222.222222222222</v>
      </c>
    </row>
    <row r="76" customFormat="false" ht="36" hidden="false" customHeight="true" outlineLevel="0" collapsed="false">
      <c r="A76" s="29"/>
      <c r="B76" s="105" t="s">
        <v>88</v>
      </c>
      <c r="C76" s="105" t="str">
        <f aca="false">'12.lan'!D175</f>
        <v>Social environment</v>
      </c>
      <c r="D76" s="130" t="n">
        <f aca="false">L76</f>
        <v>1</v>
      </c>
      <c r="E76" s="131" t="str">
        <f aca="false">VLOOKUP(D76,$C$102:$D$106,2,FALSE())</f>
        <v>medium</v>
      </c>
      <c r="F76" s="132"/>
      <c r="G76" s="132"/>
      <c r="H76" s="109" t="n">
        <f aca="false">IFERROR(I76/J76,0)</f>
        <v>0.3</v>
      </c>
      <c r="I76" s="110" t="n">
        <f aca="false">I77+I81+I86+I90</f>
        <v>66.6666666666667</v>
      </c>
      <c r="J76" s="110" t="n">
        <f aca="false">J77+J81+J86+J90</f>
        <v>222.222222222222</v>
      </c>
      <c r="L76" s="27" t="n">
        <f aca="false">'9. Weighting'!K53</f>
        <v>1</v>
      </c>
      <c r="N76" s="111" t="str">
        <f aca="false">IF(D76&lt;&gt;L76,'12.lan'!$D$240&amp;VLOOKUP(L76,$C$102:$D$106,2,FALSE())&amp;" ("&amp;L76&amp;")","")</f>
        <v/>
      </c>
    </row>
    <row r="77" customFormat="false" ht="36" hidden="false" customHeight="true" outlineLevel="0" collapsed="false">
      <c r="A77" s="29"/>
      <c r="B77" s="112" t="s">
        <v>89</v>
      </c>
      <c r="C77" s="144" t="str">
        <f aca="false">'12.lan'!D176</f>
        <v>Purpose of products and services and their effects on society</v>
      </c>
      <c r="D77" s="114" t="n">
        <f aca="false">IF(K77="trifft nicht zu",C106,'9. Weighting'!M43)</f>
        <v>1</v>
      </c>
      <c r="E77" s="133" t="str">
        <f aca="false">VLOOKUP(D77,$C$102:$D$106,2,FALSE())</f>
        <v>medium</v>
      </c>
      <c r="F77" s="146" t="n">
        <f aca="false">IF(K77="trifft nicht zu","trifft nicht zu",'9. Weighting'!M43)</f>
        <v>1</v>
      </c>
      <c r="G77" s="147"/>
      <c r="H77" s="117" t="n">
        <f aca="false">IF(J77&lt;&gt;0,ROUND(SUM(I78:I80)/J77,1),"-")</f>
        <v>0</v>
      </c>
      <c r="I77" s="118" t="n">
        <f aca="false">IF(J77=0,0,H77*J77)</f>
        <v>0</v>
      </c>
      <c r="J77" s="118" t="n">
        <f aca="false">'9. Weighting'!M42</f>
        <v>55.5555555555556</v>
      </c>
      <c r="K77" s="93" t="str">
        <f aca="false">IF(AND(D78="trifft nicht zu",D79="trifft nicht zu"),"trifft nicht zu","")</f>
        <v/>
      </c>
      <c r="L77" s="27" t="n">
        <f aca="false">VLOOKUP(O77,$C$102:$E$106,3,FALSE())</f>
        <v>1</v>
      </c>
      <c r="M77" s="27" t="n">
        <f aca="false">VLOOKUP(D77,$C$102:$E$106,3,FALSE())</f>
        <v>1</v>
      </c>
      <c r="N77" s="119" t="str">
        <f aca="false">IF(L77=M77,"",'12.lan'!$D$240&amp;VLOOKUP(L77,$C$102:$D$106,2,FALSE())&amp;" ("&amp;L77&amp;")")</f>
        <v/>
      </c>
      <c r="O77" s="27" t="n">
        <f aca="false">IF(K77="trifft nicht zu",C106,'9. Weighting'!M43)</f>
        <v>1</v>
      </c>
    </row>
    <row r="78" customFormat="false" ht="34.5" hidden="false" customHeight="true" outlineLevel="0" collapsed="false">
      <c r="A78" s="29"/>
      <c r="B78" s="120" t="s">
        <v>90</v>
      </c>
      <c r="C78" s="120" t="str">
        <f aca="false">'12.lan'!D177</f>
        <v>Products and services should cover basic needs and contribute to a good life</v>
      </c>
      <c r="D78" s="121" t="n">
        <f aca="false">C104</f>
        <v>1</v>
      </c>
      <c r="E78" s="129" t="str">
        <f aca="false">VLOOKUP(D78,$C$102:$D$106,2,FALSE())</f>
        <v>medium</v>
      </c>
      <c r="F78" s="123" t="str">
        <f aca="false">'12.lan'!$D$329</f>
        <v>Introduce value between 0 and 10</v>
      </c>
      <c r="G78" s="124"/>
      <c r="H78" s="125" t="n">
        <v>0</v>
      </c>
      <c r="I78" s="126" t="n">
        <f aca="false">IFERROR(J78*H78/10,0)</f>
        <v>0</v>
      </c>
      <c r="J78" s="126" t="n">
        <f aca="false">IFERROR($J$77*K78/(SUM($K$78:$K$79)),0)</f>
        <v>27.7777777777778</v>
      </c>
      <c r="K78" s="27" t="n">
        <f aca="false">VLOOKUP(D78,$C$102:$E$106,3,FALSE())</f>
        <v>1</v>
      </c>
      <c r="L78" s="27" t="n">
        <f aca="false">VLOOKUP(O78,$C$102:$E$106,3,FALSE())</f>
        <v>1</v>
      </c>
      <c r="M78" s="27" t="n">
        <f aca="false">VLOOKUP(D78,$C$102:$E$106,3,FALSE())</f>
        <v>1</v>
      </c>
      <c r="N78" s="119" t="str">
        <f aca="false">IF(L78=M78,"",'12.lan'!$D$240&amp;VLOOKUP(L78,$C$102:$D$106,2,FALSE())&amp;" ("&amp;L78&amp;")")</f>
        <v/>
      </c>
      <c r="O78" s="27" t="n">
        <f aca="false">C104</f>
        <v>1</v>
      </c>
    </row>
    <row r="79" customFormat="false" ht="30" hidden="false" customHeight="true" outlineLevel="0" collapsed="false">
      <c r="A79" s="29"/>
      <c r="B79" s="139" t="s">
        <v>91</v>
      </c>
      <c r="C79" s="139" t="str">
        <f aca="false">'12.lan'!D178</f>
        <v>Social impact of products and services</v>
      </c>
      <c r="D79" s="121" t="n">
        <f aca="false">C104</f>
        <v>1</v>
      </c>
      <c r="E79" s="129" t="str">
        <f aca="false">VLOOKUP(D79,$C$102:$D$106,2,FALSE())</f>
        <v>medium</v>
      </c>
      <c r="F79" s="123" t="str">
        <f aca="false">'12.lan'!$D$329</f>
        <v>Introduce value between 0 and 10</v>
      </c>
      <c r="G79" s="124"/>
      <c r="H79" s="125" t="n">
        <v>0</v>
      </c>
      <c r="I79" s="126" t="n">
        <f aca="false">IFERROR(J79*H79/10,0)</f>
        <v>0</v>
      </c>
      <c r="J79" s="126" t="n">
        <f aca="false">IFERROR($J$77*K79/(SUM($K$78:$K$79)),0)</f>
        <v>27.7777777777778</v>
      </c>
      <c r="K79" s="27" t="n">
        <f aca="false">VLOOKUP(D79,$C$102:$E$106,3,FALSE())</f>
        <v>1</v>
      </c>
      <c r="L79" s="27" t="n">
        <f aca="false">VLOOKUP(O79,$C$102:$E$106,3,FALSE())</f>
        <v>1</v>
      </c>
      <c r="M79" s="27" t="n">
        <f aca="false">VLOOKUP(D79,$C$102:$E$106,3,FALSE())</f>
        <v>1</v>
      </c>
      <c r="N79" s="119" t="str">
        <f aca="false">IF(L79=M79,"",'12.lan'!$D$240&amp;VLOOKUP(L79,$C$102:$D$106,2,FALSE())&amp;" ("&amp;L79&amp;")")</f>
        <v/>
      </c>
      <c r="O79" s="27" t="n">
        <f aca="false">C104</f>
        <v>1</v>
      </c>
    </row>
    <row r="80" customFormat="false" ht="30" hidden="false" customHeight="true" outlineLevel="0" collapsed="false">
      <c r="A80" s="29"/>
      <c r="B80" s="139" t="s">
        <v>92</v>
      </c>
      <c r="C80" s="139" t="str">
        <f aca="false">'12.lan'!D179</f>
        <v>Negative aspect: unethical and unfit products and services</v>
      </c>
      <c r="D80" s="121"/>
      <c r="E80" s="129"/>
      <c r="F80" s="123" t="str">
        <f aca="false">'12.lan'!$D$330</f>
        <v>Introduce negative points between 0 and -200</v>
      </c>
      <c r="G80" s="124"/>
      <c r="H80" s="125" t="n">
        <v>0</v>
      </c>
      <c r="I80" s="126" t="n">
        <f aca="false">H80*J77/50</f>
        <v>0</v>
      </c>
      <c r="J80" s="126" t="n">
        <f aca="false">-200*J77/50</f>
        <v>-222.222222222222</v>
      </c>
    </row>
    <row r="81" customFormat="false" ht="33" hidden="false" customHeight="true" outlineLevel="0" collapsed="false">
      <c r="A81" s="29"/>
      <c r="B81" s="112" t="s">
        <v>93</v>
      </c>
      <c r="C81" s="144" t="str">
        <f aca="false">'12.lan'!D180</f>
        <v>Contribution to the community</v>
      </c>
      <c r="D81" s="114" t="n">
        <f aca="false">IF(K81="trifft nicht zu",C106,'9. Weighting'!N43)</f>
        <v>1</v>
      </c>
      <c r="E81" s="133" t="str">
        <f aca="false">VLOOKUP(D81,$C$102:$D$106,2,FALSE())</f>
        <v>medium</v>
      </c>
      <c r="F81" s="146" t="n">
        <f aca="false">IF(K81="trifft nicht zu","trifft nicht zu",'9. Weighting'!N43)</f>
        <v>1</v>
      </c>
      <c r="G81" s="147"/>
      <c r="H81" s="117" t="n">
        <f aca="false">IF(J81&lt;&gt;0,ROUND(SUM(I82:I85)/J81,1),"-")</f>
        <v>0.2</v>
      </c>
      <c r="I81" s="118" t="n">
        <f aca="false">IF(J81=0,0,H81*J81)</f>
        <v>11.1111111111111</v>
      </c>
      <c r="J81" s="118" t="n">
        <f aca="false">'9. Weighting'!N42</f>
        <v>55.5555555555556</v>
      </c>
      <c r="K81" s="93" t="str">
        <f aca="false">IF(AND(D82="trifft nicht zu",D83="trifft nicht zu"),"trifft nicht zu","")</f>
        <v/>
      </c>
      <c r="L81" s="27" t="n">
        <f aca="false">VLOOKUP(O81,$C$102:$E$106,3,FALSE())</f>
        <v>1</v>
      </c>
      <c r="M81" s="27" t="n">
        <f aca="false">VLOOKUP(D81,$C$102:$E$106,3,FALSE())</f>
        <v>1</v>
      </c>
      <c r="N81" s="119" t="str">
        <f aca="false">IF(L81=M81,"",'12.lan'!$D$240&amp;VLOOKUP(L81,$C$102:$D$106,2,FALSE())&amp;" ("&amp;L81&amp;")")</f>
        <v/>
      </c>
      <c r="O81" s="27" t="n">
        <f aca="false">IF(K81="trifft nicht zu",C106,'9. Weighting'!N43)</f>
        <v>1</v>
      </c>
    </row>
    <row r="82" customFormat="false" ht="30" hidden="false" customHeight="true" outlineLevel="0" collapsed="false">
      <c r="A82" s="29"/>
      <c r="B82" s="135" t="s">
        <v>94</v>
      </c>
      <c r="C82" s="135" t="str">
        <f aca="false">'12.lan'!D181</f>
        <v>Taxes and social security contributions</v>
      </c>
      <c r="D82" s="121" t="n">
        <f aca="false">C104</f>
        <v>1</v>
      </c>
      <c r="E82" s="129" t="str">
        <f aca="false">VLOOKUP(D82,$C$102:$D$106,2,FALSE())</f>
        <v>medium</v>
      </c>
      <c r="F82" s="123" t="str">
        <f aca="false">'12.lan'!$D$329</f>
        <v>Introduce value between 0 and 10</v>
      </c>
      <c r="G82" s="124"/>
      <c r="H82" s="125" t="n">
        <v>1</v>
      </c>
      <c r="I82" s="126" t="n">
        <f aca="false">IFERROR(J82*H82/10,0)</f>
        <v>2.77777777777778</v>
      </c>
      <c r="J82" s="126" t="n">
        <f aca="false">IFERROR($J$81*K82/SUM($K$82:$K$83),0)</f>
        <v>27.7777777777778</v>
      </c>
      <c r="K82" s="27" t="n">
        <f aca="false">VLOOKUP(D82,$C$102:$E$106,3,FALSE())</f>
        <v>1</v>
      </c>
      <c r="L82" s="27" t="n">
        <f aca="false">VLOOKUP(O82,$C$102:$E$106,3,FALSE())</f>
        <v>1</v>
      </c>
      <c r="M82" s="27" t="n">
        <f aca="false">VLOOKUP(D82,$C$102:$E$106,3,FALSE())</f>
        <v>1</v>
      </c>
      <c r="N82" s="119" t="str">
        <f aca="false">IF(L82=M82,"",'12.lan'!$D$240&amp;VLOOKUP(L82,$C$102:$D$106,2,FALSE())&amp;" ("&amp;L82&amp;")")</f>
        <v/>
      </c>
      <c r="O82" s="27" t="n">
        <f aca="false">C104</f>
        <v>1</v>
      </c>
    </row>
    <row r="83" customFormat="false" ht="30" hidden="false" customHeight="true" outlineLevel="0" collapsed="false">
      <c r="A83" s="29"/>
      <c r="B83" s="38" t="s">
        <v>95</v>
      </c>
      <c r="C83" s="38" t="str">
        <f aca="false">'12.lan'!D182</f>
        <v>Voluntary contributions that strengthen society</v>
      </c>
      <c r="D83" s="121" t="n">
        <v>1</v>
      </c>
      <c r="E83" s="129" t="str">
        <f aca="false">VLOOKUP(D83,$C$102:$D$106,2,FALSE())</f>
        <v>medium</v>
      </c>
      <c r="F83" s="123" t="str">
        <f aca="false">'12.lan'!$D$329</f>
        <v>Introduce value between 0 and 10</v>
      </c>
      <c r="G83" s="124"/>
      <c r="H83" s="125" t="n">
        <v>2</v>
      </c>
      <c r="I83" s="126" t="n">
        <f aca="false">IFERROR(J83*H83/10,0)</f>
        <v>5.55555555555556</v>
      </c>
      <c r="J83" s="126" t="n">
        <f aca="false">IFERROR($J$81*K83/SUM($K$82:$K$83),0)</f>
        <v>27.7777777777778</v>
      </c>
      <c r="K83" s="27" t="n">
        <f aca="false">VLOOKUP(D83,$C$102:$E$106,3,FALSE())</f>
        <v>1</v>
      </c>
      <c r="L83" s="27" t="n">
        <f aca="false">VLOOKUP(O83,$C$102:$E$106,3,FALSE())</f>
        <v>1</v>
      </c>
      <c r="M83" s="27" t="n">
        <f aca="false">VLOOKUP(D83,$C$102:$E$106,3,FALSE())</f>
        <v>1</v>
      </c>
      <c r="N83" s="119" t="str">
        <f aca="false">IF(L83=M83,"",'12.lan'!$D$240&amp;VLOOKUP(L83,$C$102:$D$106,2,FALSE())&amp;" ("&amp;L83&amp;")")</f>
        <v/>
      </c>
      <c r="O83" s="27" t="n">
        <f aca="false">C104</f>
        <v>1</v>
      </c>
    </row>
    <row r="84" customFormat="false" ht="30" hidden="false" customHeight="true" outlineLevel="0" collapsed="false">
      <c r="A84" s="29"/>
      <c r="B84" s="140" t="s">
        <v>96</v>
      </c>
      <c r="C84" s="140" t="str">
        <f aca="false">'12.lan'!D183</f>
        <v>Negative aspect: inappropriate non-payment of tax</v>
      </c>
      <c r="D84" s="121"/>
      <c r="E84" s="129"/>
      <c r="F84" s="123" t="str">
        <f aca="false">'12.lan'!$D$330</f>
        <v>Introduce negative points between 0 and -200</v>
      </c>
      <c r="G84" s="124"/>
      <c r="H84" s="125" t="n">
        <v>0</v>
      </c>
      <c r="I84" s="126" t="n">
        <f aca="false">H84*J81/50</f>
        <v>0</v>
      </c>
      <c r="J84" s="126" t="n">
        <f aca="false">-200*J81/50</f>
        <v>-222.222222222222</v>
      </c>
    </row>
    <row r="85" customFormat="false" ht="30" hidden="false" customHeight="true" outlineLevel="0" collapsed="false">
      <c r="A85" s="29"/>
      <c r="B85" s="140" t="s">
        <v>97</v>
      </c>
      <c r="C85" s="140" t="str">
        <f aca="false">'12.lan'!D184</f>
        <v>Negative aspect: no anti-corruption policy</v>
      </c>
      <c r="D85" s="121"/>
      <c r="E85" s="129"/>
      <c r="F85" s="123" t="str">
        <f aca="false">'12.lan'!$D$330</f>
        <v>Introduce negative points between 0 and -200</v>
      </c>
      <c r="G85" s="124"/>
      <c r="H85" s="125" t="n">
        <v>0</v>
      </c>
      <c r="I85" s="126" t="n">
        <f aca="false">H85*J81/50</f>
        <v>0</v>
      </c>
      <c r="J85" s="126" t="n">
        <f aca="false">-200*J81/50</f>
        <v>-222.222222222222</v>
      </c>
    </row>
    <row r="86" customFormat="false" ht="33" hidden="false" customHeight="true" outlineLevel="0" collapsed="false">
      <c r="A86" s="29"/>
      <c r="B86" s="112" t="s">
        <v>98</v>
      </c>
      <c r="C86" s="113" t="str">
        <f aca="false">'12.lan'!D185</f>
        <v>Reduction of environmental impact</v>
      </c>
      <c r="D86" s="114" t="n">
        <f aca="false">IF(K86="trifft nicht zu",C106,'9. Weighting'!O43)</f>
        <v>1</v>
      </c>
      <c r="E86" s="133" t="str">
        <f aca="false">VLOOKUP(D86,$C$102:$D$106,2,FALSE())</f>
        <v>medium</v>
      </c>
      <c r="F86" s="128"/>
      <c r="G86" s="128"/>
      <c r="H86" s="117" t="n">
        <f aca="false">IF(J86&lt;&gt;0,ROUND(SUM(I87:I89)/J86,1),"-")</f>
        <v>0.4</v>
      </c>
      <c r="I86" s="118" t="n">
        <f aca="false">IF(J86=0,0,H86*J86)</f>
        <v>22.2222222222222</v>
      </c>
      <c r="J86" s="118" t="n">
        <f aca="false">'9. Weighting'!O42</f>
        <v>55.5555555555556</v>
      </c>
      <c r="K86" s="93" t="str">
        <f aca="false">IF(AND(D87="trifft nicht zu",D88="trifft nicht zu"),"trifft nicht zu","")</f>
        <v/>
      </c>
      <c r="L86" s="27" t="n">
        <f aca="false">VLOOKUP(O86,$C$102:$E$106,3,FALSE())</f>
        <v>1</v>
      </c>
      <c r="M86" s="27" t="n">
        <f aca="false">VLOOKUP(D86,$C$102:$E$106,3,FALSE())</f>
        <v>1</v>
      </c>
      <c r="N86" s="119" t="str">
        <f aca="false">IF(L86=M86,"",'12.lan'!$D$240&amp;VLOOKUP(L86,$C$102:$D$106,2,FALSE())&amp;" ("&amp;L86&amp;")")</f>
        <v/>
      </c>
      <c r="O86" s="27" t="n">
        <f aca="false">IF(K86="trifft nicht zu",C106,'9. Weighting'!O43)</f>
        <v>1</v>
      </c>
    </row>
    <row r="87" customFormat="false" ht="30" hidden="false" customHeight="true" outlineLevel="0" collapsed="false">
      <c r="A87" s="29"/>
      <c r="B87" s="135" t="s">
        <v>99</v>
      </c>
      <c r="C87" s="120" t="str">
        <f aca="false">'12.lan'!D186</f>
        <v>Absolute impact and management strategy</v>
      </c>
      <c r="D87" s="121" t="n">
        <f aca="false">C104</f>
        <v>1</v>
      </c>
      <c r="E87" s="129" t="str">
        <f aca="false">VLOOKUP(D87,$C$102:$D$106,2,FALSE())</f>
        <v>medium</v>
      </c>
      <c r="F87" s="123" t="str">
        <f aca="false">'12.lan'!$D$329</f>
        <v>Introduce value between 0 and 10</v>
      </c>
      <c r="G87" s="124"/>
      <c r="H87" s="125" t="n">
        <v>3</v>
      </c>
      <c r="I87" s="126" t="n">
        <f aca="false">IFERROR(J87*H87/10,0)</f>
        <v>8.33333333333333</v>
      </c>
      <c r="J87" s="126" t="n">
        <f aca="false">IFERROR(J86*K87/SUM($K$87:$K$88),0)</f>
        <v>27.7777777777778</v>
      </c>
      <c r="K87" s="27" t="n">
        <f aca="false">VLOOKUP(D87,$C$102:$E$106,3,FALSE())</f>
        <v>1</v>
      </c>
      <c r="L87" s="27" t="n">
        <f aca="false">VLOOKUP(O87,$C$102:$E$106,3,FALSE())</f>
        <v>1</v>
      </c>
      <c r="M87" s="27" t="n">
        <f aca="false">VLOOKUP(D87,$C$102:$E$106,3,FALSE())</f>
        <v>1</v>
      </c>
      <c r="N87" s="119" t="str">
        <f aca="false">IF(L87=M87,"",'12.lan'!$D$240&amp;VLOOKUP(L87,$C$102:$D$106,2,FALSE())&amp;" ("&amp;L87&amp;")")</f>
        <v/>
      </c>
      <c r="O87" s="27" t="n">
        <f aca="false">C104</f>
        <v>1</v>
      </c>
    </row>
    <row r="88" customFormat="false" ht="30" hidden="false" customHeight="true" outlineLevel="0" collapsed="false">
      <c r="A88" s="29"/>
      <c r="B88" s="38" t="s">
        <v>100</v>
      </c>
      <c r="C88" s="48" t="str">
        <f aca="false">'12.lan'!D187</f>
        <v>Relative impact</v>
      </c>
      <c r="D88" s="121" t="n">
        <f aca="false">C104</f>
        <v>1</v>
      </c>
      <c r="E88" s="129" t="str">
        <f aca="false">VLOOKUP(D88,$C$102:$D$106,2,FALSE())</f>
        <v>medium</v>
      </c>
      <c r="F88" s="123" t="str">
        <f aca="false">'12.lan'!$D$329</f>
        <v>Introduce value between 0 and 10</v>
      </c>
      <c r="G88" s="124"/>
      <c r="H88" s="125" t="n">
        <v>4</v>
      </c>
      <c r="I88" s="126" t="n">
        <f aca="false">IFERROR(J88*H88/10,0)</f>
        <v>11.1111111111111</v>
      </c>
      <c r="J88" s="126" t="n">
        <f aca="false">IFERROR(J86*K88/SUM($K$87:$K$88),0)</f>
        <v>27.7777777777778</v>
      </c>
      <c r="K88" s="27" t="n">
        <f aca="false">VLOOKUP(D88,$C$102:$E$106,3,FALSE())</f>
        <v>1</v>
      </c>
      <c r="L88" s="27" t="n">
        <f aca="false">VLOOKUP(O88,$C$102:$E$106,3,FALSE())</f>
        <v>1</v>
      </c>
      <c r="M88" s="27" t="n">
        <f aca="false">VLOOKUP(D88,$C$102:$E$106,3,FALSE())</f>
        <v>1</v>
      </c>
      <c r="N88" s="119" t="str">
        <f aca="false">IF(L88=M88,"",'12.lan'!$D$240&amp;VLOOKUP(L88,$C$102:$D$106,2,FALSE())&amp;" ("&amp;L88&amp;")")</f>
        <v/>
      </c>
      <c r="O88" s="27" t="n">
        <f aca="false">C104</f>
        <v>1</v>
      </c>
    </row>
    <row r="89" customFormat="false" ht="33" hidden="false" customHeight="true" outlineLevel="0" collapsed="false">
      <c r="A89" s="29"/>
      <c r="B89" s="140" t="s">
        <v>101</v>
      </c>
      <c r="C89" s="139" t="str">
        <f aca="false">'12.lan'!D188</f>
        <v>Negative aspect: infringement of environmental regulations and disproportionate environmental pollution</v>
      </c>
      <c r="D89" s="121"/>
      <c r="E89" s="129"/>
      <c r="F89" s="123" t="str">
        <f aca="false">'12.lan'!$D$330</f>
        <v>Introduce negative points between 0 and -200</v>
      </c>
      <c r="G89" s="124"/>
      <c r="H89" s="125" t="n">
        <v>0</v>
      </c>
      <c r="I89" s="126" t="n">
        <f aca="false">H89*J86/50</f>
        <v>0</v>
      </c>
      <c r="J89" s="126" t="n">
        <f aca="false">-200*J86/50</f>
        <v>-222.222222222222</v>
      </c>
    </row>
    <row r="90" customFormat="false" ht="33" hidden="false" customHeight="true" outlineLevel="0" collapsed="false">
      <c r="A90" s="29"/>
      <c r="B90" s="112" t="s">
        <v>102</v>
      </c>
      <c r="C90" s="113" t="str">
        <f aca="false">'12.lan'!D189</f>
        <v>Social co-determination and transparency</v>
      </c>
      <c r="D90" s="114" t="n">
        <f aca="false">IF(K90="trifft nicht zu",C106,'9. Weighting'!P43)</f>
        <v>1</v>
      </c>
      <c r="E90" s="133" t="str">
        <f aca="false">VLOOKUP(D90,$C$102:$D$106,2,FALSE())</f>
        <v>medium</v>
      </c>
      <c r="F90" s="128"/>
      <c r="G90" s="128"/>
      <c r="H90" s="117" t="n">
        <f aca="false">IF(J90&lt;&gt;0,ROUND(SUM(I91:I93)/J90,1),"-")</f>
        <v>0.6</v>
      </c>
      <c r="I90" s="118" t="n">
        <f aca="false">IF(J90=0,0,H90*J90)</f>
        <v>33.3333333333333</v>
      </c>
      <c r="J90" s="118" t="n">
        <f aca="false">'9. Weighting'!P42</f>
        <v>55.5555555555556</v>
      </c>
      <c r="K90" s="93" t="str">
        <f aca="false">IF(AND(D91="trifft nicht zu",D92="trifft nicht zu"),"trifft nicht zu","")</f>
        <v/>
      </c>
      <c r="L90" s="27" t="n">
        <f aca="false">VLOOKUP(O90,$C$102:$E$106,3,FALSE())</f>
        <v>1</v>
      </c>
      <c r="M90" s="27" t="n">
        <f aca="false">VLOOKUP(D90,$C$102:$E$106,3,FALSE())</f>
        <v>1</v>
      </c>
      <c r="N90" s="119" t="str">
        <f aca="false">IF(L90=M90,"",'12.lan'!$D$240&amp;VLOOKUP(L90,$C$102:$D$106,2,FALSE())&amp;" ("&amp;L90&amp;")")</f>
        <v/>
      </c>
      <c r="O90" s="27" t="n">
        <f aca="false">IF(K90="trifft nicht zu",C106,'9. Weighting'!P43)</f>
        <v>1</v>
      </c>
    </row>
    <row r="91" customFormat="false" ht="30" hidden="false" customHeight="true" outlineLevel="0" collapsed="false">
      <c r="A91" s="29"/>
      <c r="B91" s="135" t="s">
        <v>103</v>
      </c>
      <c r="C91" s="120" t="str">
        <f aca="false">'12.lan'!D190</f>
        <v>Transparency</v>
      </c>
      <c r="D91" s="121" t="n">
        <v>1</v>
      </c>
      <c r="E91" s="129" t="str">
        <f aca="false">VLOOKUP(D91,$C$102:$D$106,2,FALSE())</f>
        <v>medium</v>
      </c>
      <c r="F91" s="123" t="str">
        <f aca="false">'12.lan'!$D$329</f>
        <v>Introduce value between 0 and 10</v>
      </c>
      <c r="G91" s="124"/>
      <c r="H91" s="125" t="n">
        <v>5</v>
      </c>
      <c r="I91" s="126" t="n">
        <f aca="false">IFERROR(J91*H91/10,0)</f>
        <v>13.8888888888889</v>
      </c>
      <c r="J91" s="126" t="n">
        <f aca="false">IFERROR($J$90*K91/SUM($K$91:$K$92),0)</f>
        <v>27.7777777777778</v>
      </c>
      <c r="K91" s="27" t="n">
        <f aca="false">VLOOKUP(D91,$C$102:$E$106,3,FALSE())</f>
        <v>1</v>
      </c>
      <c r="L91" s="27" t="n">
        <f aca="false">VLOOKUP(O91,$C$102:$E$106,3,FALSE())</f>
        <v>1</v>
      </c>
      <c r="M91" s="27" t="n">
        <f aca="false">VLOOKUP(D91,$C$102:$E$106,3,FALSE())</f>
        <v>1</v>
      </c>
      <c r="N91" s="119" t="str">
        <f aca="false">IF(L91=M91,"",'12.lan'!$D$240&amp;VLOOKUP(L91,$C$102:$D$106,2,FALSE())&amp;" ("&amp;L91&amp;")")</f>
        <v/>
      </c>
      <c r="O91" s="27" t="n">
        <f aca="false">C104</f>
        <v>1</v>
      </c>
    </row>
    <row r="92" customFormat="false" ht="30" hidden="false" customHeight="true" outlineLevel="0" collapsed="false">
      <c r="A92" s="29"/>
      <c r="B92" s="135" t="s">
        <v>104</v>
      </c>
      <c r="C92" s="120" t="str">
        <f aca="false">'12.lan'!D191</f>
        <v>Social participation</v>
      </c>
      <c r="D92" s="121" t="n">
        <f aca="false">C104</f>
        <v>1</v>
      </c>
      <c r="E92" s="129" t="str">
        <f aca="false">VLOOKUP(D92,$C$102:$D$106,2,FALSE())</f>
        <v>medium</v>
      </c>
      <c r="F92" s="123" t="str">
        <f aca="false">'12.lan'!$D$329</f>
        <v>Introduce value between 0 and 10</v>
      </c>
      <c r="G92" s="124"/>
      <c r="H92" s="125" t="n">
        <v>6</v>
      </c>
      <c r="I92" s="126" t="n">
        <f aca="false">IFERROR(J92*H92/10,0)</f>
        <v>16.6666666666667</v>
      </c>
      <c r="J92" s="126" t="n">
        <f aca="false">IFERROR($J$90*K92/SUM($K$91:$K$92),0)</f>
        <v>27.7777777777778</v>
      </c>
      <c r="K92" s="27" t="n">
        <f aca="false">VLOOKUP(D92,$C$102:$E$106,3,FALSE())</f>
        <v>1</v>
      </c>
      <c r="L92" s="27" t="n">
        <f aca="false">VLOOKUP(O92,$C$102:$E$106,3,FALSE())</f>
        <v>1</v>
      </c>
      <c r="M92" s="27" t="n">
        <f aca="false">VLOOKUP(D92,$C$102:$E$106,3,FALSE())</f>
        <v>1</v>
      </c>
      <c r="N92" s="119" t="str">
        <f aca="false">IF(L92=M92,"",'12.lan'!$D$240&amp;VLOOKUP(L92,$C$102:$D$106,2,FALSE())&amp;" ("&amp;L92&amp;")")</f>
        <v/>
      </c>
      <c r="O92" s="27" t="n">
        <f aca="false">C104</f>
        <v>1</v>
      </c>
    </row>
    <row r="93" customFormat="false" ht="33.75" hidden="false" customHeight="true" outlineLevel="0" collapsed="false">
      <c r="A93" s="29"/>
      <c r="B93" s="135" t="s">
        <v>105</v>
      </c>
      <c r="C93" s="120" t="str">
        <f aca="false">'12.lan'!D192</f>
        <v>Negative aspect: lack of transparency and wilful misinformation</v>
      </c>
      <c r="D93" s="121"/>
      <c r="E93" s="129"/>
      <c r="F93" s="123" t="str">
        <f aca="false">'12.lan'!$D$330</f>
        <v>Introduce negative points between 0 and -200</v>
      </c>
      <c r="G93" s="124"/>
      <c r="H93" s="125" t="n">
        <v>0</v>
      </c>
      <c r="I93" s="126" t="n">
        <f aca="false">H93*J90/50</f>
        <v>0</v>
      </c>
      <c r="J93" s="126" t="n">
        <f aca="false">-200*J90/50</f>
        <v>-222.222222222222</v>
      </c>
    </row>
    <row r="94" customFormat="false" ht="12.75" hidden="false" customHeight="true" outlineLevel="0" collapsed="false">
      <c r="A94" s="29"/>
      <c r="B94" s="30"/>
      <c r="C94" s="40"/>
      <c r="D94" s="79"/>
      <c r="E94" s="79"/>
      <c r="F94" s="30"/>
      <c r="G94" s="30"/>
      <c r="H94" s="79"/>
      <c r="I94" s="80"/>
      <c r="J94" s="81"/>
    </row>
    <row r="95" customFormat="false" ht="18.75" hidden="false" customHeight="true" outlineLevel="0" collapsed="false">
      <c r="A95" s="29"/>
      <c r="B95" s="148" t="str">
        <f aca="false">'12.lan'!D92</f>
        <v>Total Balance Score:</v>
      </c>
      <c r="C95" s="148"/>
      <c r="D95" s="148"/>
      <c r="E95" s="148"/>
      <c r="F95" s="148"/>
      <c r="G95" s="148"/>
      <c r="H95" s="149" t="n">
        <f aca="false">H4</f>
        <v>0.222222222222222</v>
      </c>
      <c r="I95" s="150" t="n">
        <f aca="false">I4</f>
        <v>222.222222222222</v>
      </c>
      <c r="J95" s="150" t="n">
        <f aca="false">J4</f>
        <v>1000</v>
      </c>
    </row>
    <row r="96" customFormat="false" ht="18" hidden="false" customHeight="true" outlineLevel="0" collapsed="false">
      <c r="A96" s="29"/>
      <c r="B96" s="148"/>
      <c r="C96" s="148"/>
      <c r="D96" s="148"/>
      <c r="E96" s="148"/>
      <c r="F96" s="148"/>
      <c r="G96" s="148"/>
      <c r="H96" s="149"/>
      <c r="I96" s="150"/>
      <c r="J96" s="150"/>
    </row>
    <row r="102" customFormat="false" ht="12.75" hidden="true" customHeight="true" outlineLevel="0" collapsed="false">
      <c r="B102" s="74" t="n">
        <v>2</v>
      </c>
      <c r="C102" s="75" t="n">
        <v>2</v>
      </c>
      <c r="D102" s="76" t="str">
        <f aca="false">'12.lan'!D97</f>
        <v>very high</v>
      </c>
      <c r="E102" s="77" t="n">
        <v>2</v>
      </c>
    </row>
    <row r="103" customFormat="false" ht="12.75" hidden="true" customHeight="true" outlineLevel="0" collapsed="false">
      <c r="B103" s="74" t="n">
        <v>1.5</v>
      </c>
      <c r="C103" s="75" t="n">
        <v>1.5</v>
      </c>
      <c r="D103" s="76" t="str">
        <f aca="false">'12.lan'!D98</f>
        <v>high</v>
      </c>
      <c r="E103" s="151" t="n">
        <v>1.5</v>
      </c>
    </row>
    <row r="104" customFormat="false" ht="12.75" hidden="true" customHeight="true" outlineLevel="0" collapsed="false">
      <c r="B104" s="74" t="n">
        <v>1</v>
      </c>
      <c r="C104" s="75" t="n">
        <v>1</v>
      </c>
      <c r="D104" s="76" t="str">
        <f aca="false">'12.lan'!D99</f>
        <v>medium</v>
      </c>
      <c r="E104" s="77" t="n">
        <v>1</v>
      </c>
    </row>
    <row r="105" customFormat="false" ht="12.75" hidden="true" customHeight="true" outlineLevel="0" collapsed="false">
      <c r="B105" s="74" t="n">
        <v>0.5</v>
      </c>
      <c r="C105" s="75" t="n">
        <v>0.5</v>
      </c>
      <c r="D105" s="76" t="str">
        <f aca="false">'12.lan'!D100</f>
        <v>low</v>
      </c>
      <c r="E105" s="151" t="n">
        <v>0.5</v>
      </c>
    </row>
    <row r="106" customFormat="false" ht="12.75" hidden="true" customHeight="true" outlineLevel="0" collapsed="false">
      <c r="B106" s="74" t="n">
        <v>0</v>
      </c>
      <c r="C106" s="75" t="n">
        <v>0</v>
      </c>
      <c r="D106" s="76" t="str">
        <f aca="false">'12.lan'!D101</f>
        <v>not applicable</v>
      </c>
      <c r="E106" s="77" t="n">
        <v>0</v>
      </c>
    </row>
    <row r="107" customFormat="false" ht="12.75" hidden="true" customHeight="true" outlineLevel="0" collapsed="false"/>
  </sheetData>
  <sheetProtection algorithmName="SHA-512" hashValue="F4b4hu9Raws+Ly5ItYC3bN8+wZ9FFr4vLEQsjxlASjDJJZzwCzLOrgvZomH/PnPlFQfJFQIDIl19KdWSaWD9Ag==" saltValue="KAJh3KLB5rYTg7+1uojpyw==" spinCount="100000" sheet="true"/>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priority="2" operator="lessThan" aboveAverage="0" equalAverage="0" bottom="0" percent="0" rank="0" text="" dxfId="11">
      <formula>0</formula>
    </cfRule>
  </conditionalFormatting>
  <conditionalFormatting sqref="H10">
    <cfRule type="cellIs" priority="3" operator="lessThan" aboveAverage="0" equalAverage="0" bottom="0" percent="0" rank="0" text="" dxfId="12">
      <formula>0</formula>
    </cfRule>
  </conditionalFormatting>
  <conditionalFormatting sqref="H13">
    <cfRule type="cellIs" priority="4" operator="lessThan" aboveAverage="0" equalAverage="0" bottom="0" percent="0" rank="0" text="" dxfId="13">
      <formula>0</formula>
    </cfRule>
  </conditionalFormatting>
  <conditionalFormatting sqref="H17">
    <cfRule type="cellIs" priority="5" operator="lessThan" aboveAverage="0" equalAverage="0" bottom="0" percent="0" rank="0" text="" dxfId="14">
      <formula>0</formula>
    </cfRule>
  </conditionalFormatting>
  <conditionalFormatting sqref="H20">
    <cfRule type="cellIs" priority="6" operator="lessThan" aboveAverage="0" equalAverage="0" bottom="0" percent="0" rank="0" text="" dxfId="15">
      <formula>0</formula>
    </cfRule>
  </conditionalFormatting>
  <conditionalFormatting sqref="H28 H31 H35 H44 H49 H54 H59:H60 H64 H68 H72 H81 H86 H90 H76:H77 H38:H39 H23:H24">
    <cfRule type="cellIs" priority="7" operator="lessThan" aboveAverage="0" equalAverage="0" bottom="0" percent="0" rank="0" text="" dxfId="16">
      <formula>0</formula>
    </cfRule>
  </conditionalFormatting>
  <conditionalFormatting sqref="H95:H96">
    <cfRule type="cellIs" priority="8" operator="lessThan" aboveAverage="0" equalAverage="0" bottom="0" percent="0" rank="0" text="" dxfId="17">
      <formula>0</formula>
    </cfRule>
  </conditionalFormatting>
  <conditionalFormatting sqref="H9">
    <cfRule type="cellIs" priority="9" operator="lessThan" aboveAverage="0" equalAverage="0" bottom="0" percent="0" rank="0" text="" dxfId="18">
      <formula>0</formula>
    </cfRule>
  </conditionalFormatting>
  <dataValidations count="7">
    <dataValidation allowBlank="true" operator="equal" promptTitle="Gewichtung" showDropDown="false" showErrorMessage="true" showInputMessage="true" sqref="D10 D13:D15 D17 D20:D22 D24:D28 D31:D33 D35 D39:D42 D44:D47 D49:D52 D54:D57 D60:D62 D64:D66 D68:D70 D72:D74 D77:D79 D81:D83 D86:D88 D90:D92" type="list">
      <formula1>$C$102:$C$106</formula1>
      <formula2>0</formula2>
    </dataValidation>
    <dataValidation allowBlank="true" operator="equal" promptTitle="Gewichtung" showDropDown="false" showErrorMessage="true" showInputMessage="true" sqref="E10:E20 D11:D12 D16 D18:D19 E21:E22 E24:E28 D30:E30 E31:E37 D34 D36:D37 E39:E58 D43 D48 D53 D58 E60:E75 D63 D67 D71 D75 E77:E93 D80 D84:D85 D89 D93" type="none">
      <formula1>0</formula1>
      <formula2>0</formula2>
    </dataValidation>
    <dataValidation allowBlank="true" error="Value has to be between 0 and 10." errorTitle="Value" operator="between" showDropDown="false" showErrorMessage="true" showInputMessage="true" sqref="H11 H14:H15 H18 H21:H22 H25:H27 H29 H32:H33 H36 H40:H42 H45:H47 H50:H52 H55:H57 H61:H62 H65:H66 H69:H70 H73:H74 H78:H79 H82:H83 H87:H88 H91:H92" type="decimal">
      <formula1>0</formula1>
      <formula2>10</formula2>
    </dataValidation>
    <dataValidation allowBlank="true" error="Value has to be between -200 and 0." errorTitle="Value" operator="between" showDropDown="false" showErrorMessage="true" showInputMessage="false" sqref="H12 H16 H19 H30 H34 H37 H43 H48 H53 H58 H63 H67 H71 H75 H80 H84:H85 H89 H93" type="decimal">
      <formula1>-200</formula1>
      <formula2>0</formula2>
    </dataValidation>
    <dataValidation allowBlank="true" operator="between" showDropDown="false" showErrorMessage="true" showInputMessage="true" sqref="D9" type="list">
      <formula1>C102:C106</formula1>
      <formula2>0</formula2>
    </dataValidation>
    <dataValidation allowBlank="true" operator="between" showDropDown="false" showErrorMessage="true" showInputMessage="true" sqref="D23" type="list">
      <formula1>C102:C106</formula1>
      <formula2>0</formula2>
    </dataValidation>
    <dataValidation allowBlank="true" operator="between" showDropDown="false" showErrorMessage="true" showInputMessage="true" sqref="D38 D59 D76" type="list">
      <formula1>$C$102:$C$106</formula1>
      <formula2>0</formula2>
    </dataValidation>
  </dataValidations>
  <printOptions headings="false" gridLines="false" gridLinesSet="true" horizontalCentered="false" verticalCentered="false"/>
  <pageMargins left="0.433333333333333" right="0.472222222222222" top="0.39375" bottom="0.39375" header="0.511805555555555" footer="0.511805555555555"/>
  <pageSetup paperSize="9" scale="100" firstPageNumber="0" fitToWidth="1" fitToHeight="1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N12" activeCellId="0" sqref="N12"/>
    </sheetView>
  </sheetViews>
  <sheetFormatPr defaultColWidth="10.30078125" defaultRowHeight="12" zeroHeight="false" outlineLevelRow="0" outlineLevelCol="0"/>
  <cols>
    <col collapsed="false" customWidth="true" hidden="false" outlineLevel="0" max="2" min="1" style="152" width="1.29"/>
    <col collapsed="false" customWidth="true" hidden="false" outlineLevel="0" max="4" min="3" style="152" width="2.29"/>
    <col collapsed="false" customWidth="true" hidden="false" outlineLevel="0" max="5" min="5" style="152" width="8.29"/>
    <col collapsed="false" customWidth="true" hidden="false" outlineLevel="0" max="6" min="6" style="152" width="40.86"/>
    <col collapsed="false" customWidth="true" hidden="false" outlineLevel="0" max="7" min="7" style="152" width="27.29"/>
    <col collapsed="false" customWidth="true" hidden="false" outlineLevel="0" max="8" min="8" style="152" width="17.29"/>
    <col collapsed="false" customWidth="true" hidden="false" outlineLevel="0" max="9" min="9" style="152" width="12.29"/>
    <col collapsed="false" customWidth="true" hidden="false" outlineLevel="0" max="10" min="10" style="152" width="36.29"/>
    <col collapsed="false" customWidth="true" hidden="false" outlineLevel="0" max="11" min="11" style="152" width="12.71"/>
    <col collapsed="false" customWidth="true" hidden="false" outlineLevel="0" max="12" min="12" style="152" width="3.29"/>
    <col collapsed="false" customWidth="true" hidden="false" outlineLevel="0" max="15" min="13" style="153" width="13.29"/>
    <col collapsed="false" customWidth="true" hidden="false" outlineLevel="0" max="16" min="16" style="153" width="14.28"/>
    <col collapsed="false" customWidth="true" hidden="false" outlineLevel="0" max="17" min="17" style="152" width="1.29"/>
    <col collapsed="false" customWidth="false" hidden="false" outlineLevel="0" max="18" min="18" style="152" width="10.29"/>
    <col collapsed="false" customWidth="false" hidden="false" outlineLevel="0" max="25" min="19" style="154" width="10.29"/>
    <col collapsed="false" customWidth="false" hidden="false" outlineLevel="0" max="1024" min="26" style="152" width="10.29"/>
  </cols>
  <sheetData>
    <row r="1" customFormat="false" ht="6.75" hidden="false" customHeight="true" outlineLevel="0" collapsed="false">
      <c r="A1" s="154"/>
      <c r="B1" s="154"/>
      <c r="C1" s="154"/>
      <c r="D1" s="154"/>
      <c r="E1" s="154"/>
      <c r="F1" s="154"/>
      <c r="G1" s="154"/>
      <c r="H1" s="154"/>
      <c r="I1" s="154"/>
      <c r="J1" s="154"/>
      <c r="K1" s="154"/>
      <c r="L1" s="154"/>
      <c r="M1" s="155"/>
      <c r="N1" s="155"/>
      <c r="O1" s="155"/>
      <c r="P1" s="155"/>
      <c r="Q1" s="154"/>
      <c r="R1" s="154"/>
    </row>
    <row r="2" customFormat="false" ht="7.5" hidden="false" customHeight="true" outlineLevel="0" collapsed="false">
      <c r="A2" s="154"/>
      <c r="B2" s="156"/>
      <c r="C2" s="156"/>
      <c r="D2" s="156"/>
      <c r="E2" s="156"/>
      <c r="F2" s="154"/>
      <c r="G2" s="154"/>
      <c r="H2" s="154"/>
      <c r="I2" s="154"/>
      <c r="J2" s="154"/>
      <c r="K2" s="154"/>
      <c r="L2" s="154"/>
      <c r="M2" s="155"/>
      <c r="N2" s="155"/>
      <c r="O2" s="155"/>
      <c r="P2" s="155"/>
      <c r="Q2" s="154"/>
      <c r="R2" s="154"/>
    </row>
    <row r="3" customFormat="false" ht="6.75" hidden="false" customHeight="true" outlineLevel="0" collapsed="false">
      <c r="A3" s="154"/>
      <c r="B3" s="157"/>
      <c r="C3" s="158"/>
      <c r="D3" s="159"/>
      <c r="E3" s="159"/>
      <c r="F3" s="159"/>
      <c r="G3" s="159"/>
      <c r="H3" s="159"/>
      <c r="I3" s="159"/>
      <c r="J3" s="159"/>
      <c r="K3" s="159"/>
      <c r="L3" s="159"/>
      <c r="M3" s="160"/>
      <c r="N3" s="160"/>
      <c r="O3" s="160"/>
      <c r="P3" s="160"/>
      <c r="Q3" s="161"/>
      <c r="R3" s="154"/>
    </row>
    <row r="4" customFormat="false" ht="42" hidden="false" customHeight="true" outlineLevel="0" collapsed="false">
      <c r="A4" s="154"/>
      <c r="B4" s="162"/>
      <c r="C4" s="163"/>
      <c r="D4" s="164"/>
      <c r="E4" s="165" t="s">
        <v>106</v>
      </c>
      <c r="F4" s="165"/>
      <c r="G4" s="165"/>
      <c r="H4" s="165"/>
      <c r="I4" s="165"/>
      <c r="J4" s="165"/>
      <c r="K4" s="166" t="s">
        <v>107</v>
      </c>
      <c r="L4" s="166"/>
      <c r="M4" s="167" t="s">
        <v>108</v>
      </c>
      <c r="N4" s="167" t="s">
        <v>109</v>
      </c>
      <c r="O4" s="167" t="s">
        <v>110</v>
      </c>
      <c r="P4" s="167" t="s">
        <v>111</v>
      </c>
      <c r="Q4" s="168"/>
      <c r="R4" s="154"/>
    </row>
    <row r="5" customFormat="false" ht="24.75" hidden="false" customHeight="true" outlineLevel="0" collapsed="false">
      <c r="A5" s="154"/>
      <c r="B5" s="169" t="s">
        <v>112</v>
      </c>
      <c r="C5" s="170"/>
      <c r="D5" s="169"/>
      <c r="E5" s="165"/>
      <c r="F5" s="165"/>
      <c r="G5" s="165"/>
      <c r="H5" s="165"/>
      <c r="I5" s="165"/>
      <c r="J5" s="165"/>
      <c r="K5" s="166"/>
      <c r="L5" s="166"/>
      <c r="M5" s="167"/>
      <c r="N5" s="167"/>
      <c r="O5" s="167"/>
      <c r="P5" s="167"/>
      <c r="Q5" s="168"/>
      <c r="R5" s="154"/>
    </row>
    <row r="6" customFormat="false" ht="12.75" hidden="false" customHeight="true" outlineLevel="0" collapsed="false">
      <c r="A6" s="154"/>
      <c r="B6" s="169" t="s">
        <v>113</v>
      </c>
      <c r="C6" s="170"/>
      <c r="D6" s="169"/>
      <c r="E6" s="165"/>
      <c r="F6" s="165"/>
      <c r="G6" s="165"/>
      <c r="H6" s="165"/>
      <c r="I6" s="165"/>
      <c r="J6" s="165"/>
      <c r="K6" s="166"/>
      <c r="L6" s="166"/>
      <c r="M6" s="167"/>
      <c r="N6" s="167"/>
      <c r="O6" s="167"/>
      <c r="P6" s="167"/>
      <c r="Q6" s="168"/>
      <c r="R6" s="154"/>
    </row>
    <row r="7" customFormat="false" ht="41.25" hidden="false" customHeight="true" outlineLevel="0" collapsed="false">
      <c r="A7" s="154"/>
      <c r="B7" s="169"/>
      <c r="C7" s="170"/>
      <c r="D7" s="169"/>
      <c r="E7" s="171"/>
      <c r="F7" s="172"/>
      <c r="G7" s="172"/>
      <c r="H7" s="173" t="s">
        <v>114</v>
      </c>
      <c r="I7" s="173"/>
      <c r="J7" s="174" t="s">
        <v>115</v>
      </c>
      <c r="K7" s="166"/>
      <c r="L7" s="166"/>
      <c r="M7" s="167"/>
      <c r="N7" s="167"/>
      <c r="O7" s="167"/>
      <c r="P7" s="167"/>
      <c r="Q7" s="168"/>
      <c r="R7" s="154"/>
    </row>
    <row r="8" customFormat="false" ht="57" hidden="false" customHeight="true" outlineLevel="0" collapsed="false">
      <c r="A8" s="154"/>
      <c r="B8" s="175"/>
      <c r="C8" s="176"/>
      <c r="D8" s="175"/>
      <c r="E8" s="177"/>
      <c r="F8" s="178" t="s">
        <v>116</v>
      </c>
      <c r="G8" s="178"/>
      <c r="H8" s="178"/>
      <c r="I8" s="178"/>
      <c r="J8" s="178"/>
      <c r="K8" s="179"/>
      <c r="L8" s="179"/>
      <c r="M8" s="167"/>
      <c r="N8" s="167"/>
      <c r="O8" s="167"/>
      <c r="P8" s="167"/>
      <c r="Q8" s="168"/>
      <c r="R8" s="154"/>
    </row>
    <row r="9" customFormat="false" ht="15" hidden="false" customHeight="true" outlineLevel="0" collapsed="false">
      <c r="A9" s="154"/>
      <c r="B9" s="175"/>
      <c r="C9" s="176"/>
      <c r="D9" s="175"/>
      <c r="E9" s="177"/>
      <c r="F9" s="178"/>
      <c r="G9" s="178"/>
      <c r="H9" s="178"/>
      <c r="I9" s="178"/>
      <c r="J9" s="178"/>
      <c r="K9" s="179"/>
      <c r="L9" s="179"/>
      <c r="M9" s="180" t="n">
        <f aca="false">M15+M23+M29+M36+M42</f>
        <v>250</v>
      </c>
      <c r="N9" s="180" t="n">
        <f aca="false">N15+N23+N29+N36+N42</f>
        <v>250</v>
      </c>
      <c r="O9" s="180" t="n">
        <f aca="false">O15+O23+O29+O36+O42</f>
        <v>250</v>
      </c>
      <c r="P9" s="180" t="n">
        <f aca="false">P15+P23+P29+P36+P42</f>
        <v>250</v>
      </c>
      <c r="Q9" s="168"/>
      <c r="R9" s="154"/>
    </row>
    <row r="10" customFormat="false" ht="21" hidden="false" customHeight="true" outlineLevel="0" collapsed="false">
      <c r="A10" s="154"/>
      <c r="B10" s="181"/>
      <c r="C10" s="182"/>
      <c r="D10" s="183"/>
      <c r="E10" s="184"/>
      <c r="F10" s="185" t="s">
        <v>117</v>
      </c>
      <c r="G10" s="185"/>
      <c r="H10" s="185"/>
      <c r="I10" s="186" t="n">
        <f aca="false">'2. Company Facts'!C7</f>
        <v>10000</v>
      </c>
      <c r="J10" s="187" t="s">
        <v>118</v>
      </c>
      <c r="K10" s="188" t="n">
        <f aca="false">K49</f>
        <v>1.5</v>
      </c>
      <c r="L10" s="189" t="n">
        <f aca="false">M15+N15+O15+P15</f>
        <v>333.333333333333</v>
      </c>
      <c r="M10" s="190" t="s">
        <v>23</v>
      </c>
      <c r="N10" s="191" t="s">
        <v>26</v>
      </c>
      <c r="O10" s="191" t="s">
        <v>30</v>
      </c>
      <c r="P10" s="192" t="s">
        <v>33</v>
      </c>
      <c r="Q10" s="193"/>
      <c r="R10" s="154"/>
    </row>
    <row r="11" customFormat="false" ht="13.5" hidden="false" customHeight="true" outlineLevel="0" collapsed="false">
      <c r="A11" s="154"/>
      <c r="B11" s="181"/>
      <c r="C11" s="194"/>
      <c r="D11" s="195"/>
      <c r="E11" s="196"/>
      <c r="F11" s="197"/>
      <c r="G11" s="197"/>
      <c r="H11" s="197"/>
      <c r="I11" s="197"/>
      <c r="J11" s="187"/>
      <c r="K11" s="188"/>
      <c r="L11" s="188"/>
      <c r="M11" s="190"/>
      <c r="N11" s="191"/>
      <c r="O11" s="191"/>
      <c r="P11" s="192"/>
      <c r="Q11" s="168"/>
      <c r="R11" s="154"/>
    </row>
    <row r="12" customFormat="false" ht="21.75" hidden="false" customHeight="true" outlineLevel="0" collapsed="false">
      <c r="A12" s="154"/>
      <c r="B12" s="181"/>
      <c r="C12" s="176"/>
      <c r="D12" s="175"/>
      <c r="E12" s="196" t="s">
        <v>119</v>
      </c>
      <c r="F12" s="198" t="s">
        <v>120</v>
      </c>
      <c r="G12" s="199" t="s">
        <v>121</v>
      </c>
      <c r="H12" s="199" t="s">
        <v>122</v>
      </c>
      <c r="I12" s="198" t="s">
        <v>123</v>
      </c>
      <c r="J12" s="187"/>
      <c r="K12" s="188"/>
      <c r="L12" s="188"/>
      <c r="M12" s="200"/>
      <c r="N12" s="201"/>
      <c r="O12" s="201"/>
      <c r="P12" s="202"/>
      <c r="Q12" s="168"/>
      <c r="R12" s="154"/>
    </row>
    <row r="13" customFormat="false" ht="15" hidden="false" customHeight="true" outlineLevel="0" collapsed="false">
      <c r="A13" s="154"/>
      <c r="B13" s="181"/>
      <c r="C13" s="176"/>
      <c r="D13" s="175"/>
      <c r="E13" s="196" t="str">
        <f aca="false">LEFT(F13,2)</f>
        <v>Pl</v>
      </c>
      <c r="F13" s="203" t="str">
        <f aca="false">'2. Company Facts'!B10</f>
        <v>Please choose</v>
      </c>
      <c r="G13" s="204" t="str">
        <f aca="false">'2. Company Facts'!C10</f>
        <v>Please enter</v>
      </c>
      <c r="H13" s="204" t="str">
        <f aca="false">'2. Company Facts'!D10</f>
        <v>Please choose</v>
      </c>
      <c r="I13" s="205" t="n">
        <f aca="false">'2. Company Facts'!F10</f>
        <v>500</v>
      </c>
      <c r="J13" s="187"/>
      <c r="K13" s="188"/>
      <c r="L13" s="188"/>
      <c r="M13" s="206"/>
      <c r="N13" s="207"/>
      <c r="O13" s="207"/>
      <c r="P13" s="208"/>
      <c r="Q13" s="168"/>
      <c r="R13" s="154"/>
    </row>
    <row r="14" customFormat="false" ht="15" hidden="false" customHeight="true" outlineLevel="0" collapsed="false">
      <c r="A14" s="154"/>
      <c r="B14" s="181"/>
      <c r="C14" s="209"/>
      <c r="D14" s="210"/>
      <c r="E14" s="196" t="str">
        <f aca="false">LEFT(F14,2)</f>
        <v>Pl</v>
      </c>
      <c r="F14" s="211" t="str">
        <f aca="false">'2. Company Facts'!B11</f>
        <v>Please choose</v>
      </c>
      <c r="G14" s="212" t="str">
        <f aca="false">'2. Company Facts'!C11</f>
        <v>Please enter</v>
      </c>
      <c r="H14" s="212" t="str">
        <f aca="false">'2. Company Facts'!D11</f>
        <v>Please choose</v>
      </c>
      <c r="I14" s="213" t="n">
        <f aca="false">'2. Company Facts'!F11</f>
        <v>0</v>
      </c>
      <c r="J14" s="187"/>
      <c r="K14" s="188"/>
      <c r="L14" s="188"/>
      <c r="M14" s="214" t="n">
        <f aca="false">'3. Calc'!D10</f>
        <v>1</v>
      </c>
      <c r="N14" s="215" t="n">
        <f aca="false">'3. Calc'!D13</f>
        <v>1</v>
      </c>
      <c r="O14" s="216" t="n">
        <f aca="false">'3. Calc'!D17</f>
        <v>1</v>
      </c>
      <c r="P14" s="217" t="n">
        <f aca="false">'3. Calc'!D20</f>
        <v>1</v>
      </c>
      <c r="Q14" s="218" t="n">
        <f aca="false">'11.Region'!U10</f>
        <v>0</v>
      </c>
      <c r="R14" s="154"/>
    </row>
    <row r="15" customFormat="false" ht="15" hidden="false" customHeight="true" outlineLevel="0" collapsed="false">
      <c r="A15" s="154"/>
      <c r="B15" s="210"/>
      <c r="C15" s="209"/>
      <c r="D15" s="210"/>
      <c r="E15" s="196" t="str">
        <f aca="false">LEFT(F15,2)</f>
        <v>Pl</v>
      </c>
      <c r="F15" s="219" t="str">
        <f aca="false">'2. Company Facts'!B12</f>
        <v>Please choose</v>
      </c>
      <c r="G15" s="212" t="str">
        <f aca="false">'2. Company Facts'!C12</f>
        <v>Please enter</v>
      </c>
      <c r="H15" s="212" t="str">
        <f aca="false">'2. Company Facts'!D12</f>
        <v>Please choose</v>
      </c>
      <c r="I15" s="213" t="n">
        <f aca="false">'2. Company Facts'!F12</f>
        <v>0</v>
      </c>
      <c r="J15" s="187"/>
      <c r="K15" s="188"/>
      <c r="L15" s="188"/>
      <c r="M15" s="220" t="n">
        <f aca="false">M49</f>
        <v>83.3333333333333</v>
      </c>
      <c r="N15" s="221" t="n">
        <f aca="false">N49</f>
        <v>83.3333333333333</v>
      </c>
      <c r="O15" s="221" t="n">
        <f aca="false">O49</f>
        <v>83.3333333333333</v>
      </c>
      <c r="P15" s="222" t="n">
        <f aca="false">P49</f>
        <v>83.3333333333333</v>
      </c>
      <c r="Q15" s="218"/>
      <c r="R15" s="154"/>
    </row>
    <row r="16" customFormat="false" ht="15" hidden="false" customHeight="true" outlineLevel="0" collapsed="false">
      <c r="A16" s="154"/>
      <c r="B16" s="169"/>
      <c r="C16" s="170"/>
      <c r="D16" s="169"/>
      <c r="E16" s="196" t="str">
        <f aca="false">LEFT(F16,2)</f>
        <v>Pl</v>
      </c>
      <c r="F16" s="219" t="str">
        <f aca="false">'2. Company Facts'!B13</f>
        <v>Please choose</v>
      </c>
      <c r="G16" s="212" t="str">
        <f aca="false">'2. Company Facts'!C13</f>
        <v>Please enter</v>
      </c>
      <c r="H16" s="212" t="str">
        <f aca="false">'2. Company Facts'!D13</f>
        <v>Please choose</v>
      </c>
      <c r="I16" s="213" t="n">
        <f aca="false">'2. Company Facts'!F13</f>
        <v>0</v>
      </c>
      <c r="J16" s="187"/>
      <c r="K16" s="188"/>
      <c r="L16" s="188"/>
      <c r="M16" s="223" t="n">
        <f aca="false">'3. Calc'!C104</f>
        <v>1</v>
      </c>
      <c r="N16" s="224" t="n">
        <f aca="false">'3. Calc'!C104</f>
        <v>1</v>
      </c>
      <c r="O16" s="224" t="n">
        <f aca="false">IFERROR(IF('11.Region'!N8&gt;1.5,'3. Calc'!C102,IF('11.Region'!N8&gt;1.25,'3. Calc'!C103,IF('11.Region'!N8&lt;0.75,'3. Calc'!C105,'3. Calc'!C104))),'3. Calc'!C104)</f>
        <v>1</v>
      </c>
      <c r="P16" s="225" t="n">
        <f aca="false">IF('11.Region'!I9&lt;1.5,'3. Calc'!C105,IF('11.Region'!I9&lt;3.26,'3. Calc'!C104,IF('11.Region'!I9&lt;4.5,'3. Calc'!C103,'3. Calc'!C102)))</f>
        <v>1</v>
      </c>
      <c r="Q16" s="218"/>
      <c r="R16" s="154"/>
    </row>
    <row r="17" customFormat="false" ht="15" hidden="false" customHeight="true" outlineLevel="0" collapsed="false">
      <c r="A17" s="154"/>
      <c r="B17" s="169"/>
      <c r="C17" s="170"/>
      <c r="D17" s="169"/>
      <c r="E17" s="196" t="str">
        <f aca="false">LEFT(F17,2)</f>
        <v>Pl</v>
      </c>
      <c r="F17" s="226" t="str">
        <f aca="false">'2. Company Facts'!B14</f>
        <v>Please choose</v>
      </c>
      <c r="G17" s="227" t="str">
        <f aca="false">'2. Company Facts'!C14</f>
        <v>Please enter</v>
      </c>
      <c r="H17" s="212" t="str">
        <f aca="false">'2. Company Facts'!D14</f>
        <v>Please choose</v>
      </c>
      <c r="I17" s="213" t="n">
        <f aca="false">'2. Company Facts'!F14</f>
        <v>0</v>
      </c>
      <c r="J17" s="187"/>
      <c r="K17" s="188"/>
      <c r="L17" s="188"/>
      <c r="M17" s="206"/>
      <c r="N17" s="207"/>
      <c r="O17" s="207"/>
      <c r="P17" s="208"/>
      <c r="Q17" s="218"/>
      <c r="R17" s="154"/>
    </row>
    <row r="18" customFormat="false" ht="15.75" hidden="false" customHeight="true" outlineLevel="0" collapsed="false">
      <c r="A18" s="154"/>
      <c r="B18" s="228"/>
      <c r="C18" s="229"/>
      <c r="D18" s="230"/>
      <c r="E18" s="231"/>
      <c r="F18" s="232" t="s">
        <v>124</v>
      </c>
      <c r="G18" s="232"/>
      <c r="H18" s="233" t="str">
        <f aca="false">'2. Company Facts'!D15</f>
        <v>Please choose</v>
      </c>
      <c r="I18" s="234" t="n">
        <f aca="false">'2. Company Facts'!F15</f>
        <v>9500</v>
      </c>
      <c r="J18" s="187"/>
      <c r="K18" s="188"/>
      <c r="L18" s="188"/>
      <c r="M18" s="235"/>
      <c r="N18" s="236"/>
      <c r="O18" s="236"/>
      <c r="P18" s="237"/>
      <c r="Q18" s="238"/>
      <c r="R18" s="154"/>
    </row>
    <row r="19" customFormat="false" ht="13.5" hidden="false" customHeight="true" outlineLevel="0" collapsed="false">
      <c r="A19" s="154"/>
      <c r="B19" s="210"/>
      <c r="C19" s="209"/>
      <c r="D19" s="210"/>
      <c r="E19" s="196"/>
      <c r="F19" s="239" t="s">
        <v>125</v>
      </c>
      <c r="G19" s="239"/>
      <c r="H19" s="239"/>
      <c r="I19" s="240" t="n">
        <f aca="false">'2. Company Facts'!C18</f>
        <v>500</v>
      </c>
      <c r="J19" s="241" t="s">
        <v>126</v>
      </c>
      <c r="K19" s="242" t="n">
        <f aca="false">K50</f>
        <v>0.5</v>
      </c>
      <c r="L19" s="189" t="n">
        <f aca="false">M23+N23+O23+P23</f>
        <v>111.111111111111</v>
      </c>
      <c r="M19" s="243" t="s">
        <v>37</v>
      </c>
      <c r="N19" s="244" t="s">
        <v>41</v>
      </c>
      <c r="O19" s="244" t="s">
        <v>44</v>
      </c>
      <c r="P19" s="245" t="s">
        <v>48</v>
      </c>
      <c r="Q19" s="218"/>
      <c r="R19" s="154"/>
    </row>
    <row r="20" customFormat="false" ht="15" hidden="false" customHeight="true" outlineLevel="0" collapsed="false">
      <c r="A20" s="154"/>
      <c r="B20" s="210"/>
      <c r="C20" s="209"/>
      <c r="D20" s="210"/>
      <c r="E20" s="196"/>
      <c r="F20" s="246" t="s">
        <v>127</v>
      </c>
      <c r="G20" s="246"/>
      <c r="H20" s="246"/>
      <c r="I20" s="247" t="str">
        <f aca="false">IFERROR(I19/I32,"-")</f>
        <v>-</v>
      </c>
      <c r="J20" s="241"/>
      <c r="K20" s="242"/>
      <c r="L20" s="242"/>
      <c r="M20" s="243"/>
      <c r="N20" s="244" t="s">
        <v>128</v>
      </c>
      <c r="O20" s="244"/>
      <c r="P20" s="245" t="s">
        <v>129</v>
      </c>
      <c r="Q20" s="218"/>
      <c r="R20" s="154"/>
    </row>
    <row r="21" customFormat="false" ht="15" hidden="false" customHeight="true" outlineLevel="0" collapsed="false">
      <c r="A21" s="154"/>
      <c r="B21" s="210"/>
      <c r="C21" s="209"/>
      <c r="D21" s="210"/>
      <c r="E21" s="196"/>
      <c r="F21" s="248" t="s">
        <v>130</v>
      </c>
      <c r="G21" s="248"/>
      <c r="H21" s="248"/>
      <c r="I21" s="249" t="n">
        <f aca="false">'2. Company Facts'!C19</f>
        <v>0</v>
      </c>
      <c r="J21" s="241"/>
      <c r="K21" s="242"/>
      <c r="L21" s="242"/>
      <c r="M21" s="200"/>
      <c r="N21" s="201"/>
      <c r="O21" s="201"/>
      <c r="P21" s="202"/>
      <c r="Q21" s="218"/>
      <c r="R21" s="154"/>
    </row>
    <row r="22" customFormat="false" ht="15" hidden="false" customHeight="true" outlineLevel="0" collapsed="false">
      <c r="A22" s="154"/>
      <c r="B22" s="162"/>
      <c r="C22" s="250"/>
      <c r="D22" s="162"/>
      <c r="E22" s="251" t="n">
        <f aca="false">IFERROR((G24+I24)/I23,0.2)</f>
        <v>0.2</v>
      </c>
      <c r="F22" s="252" t="s">
        <v>131</v>
      </c>
      <c r="G22" s="253" t="s">
        <v>132</v>
      </c>
      <c r="H22" s="253"/>
      <c r="I22" s="254" t="n">
        <f aca="false">'2. Company Facts'!C20</f>
        <v>0</v>
      </c>
      <c r="J22" s="241"/>
      <c r="K22" s="242"/>
      <c r="L22" s="242"/>
      <c r="M22" s="255" t="n">
        <f aca="false">'3. Calc'!D24</f>
        <v>1</v>
      </c>
      <c r="N22" s="256" t="n">
        <f aca="false">'3. Calc'!D28</f>
        <v>1</v>
      </c>
      <c r="O22" s="256" t="n">
        <f aca="false">'3. Calc'!D31</f>
        <v>1</v>
      </c>
      <c r="P22" s="257" t="n">
        <f aca="false">'3. Calc'!D35</f>
        <v>1</v>
      </c>
      <c r="Q22" s="258"/>
      <c r="R22" s="154"/>
    </row>
    <row r="23" customFormat="false" ht="15" hidden="false" customHeight="true" outlineLevel="0" collapsed="false">
      <c r="A23" s="154"/>
      <c r="B23" s="162"/>
      <c r="C23" s="250"/>
      <c r="D23" s="162"/>
      <c r="E23" s="259" t="n">
        <f aca="false">IFERROR(I32/I23,0.3)</f>
        <v>0.3</v>
      </c>
      <c r="F23" s="252" t="s">
        <v>133</v>
      </c>
      <c r="G23" s="248" t="s">
        <v>134</v>
      </c>
      <c r="H23" s="248"/>
      <c r="I23" s="260" t="n">
        <f aca="false">'2. Company Facts'!C21</f>
        <v>0</v>
      </c>
      <c r="J23" s="241"/>
      <c r="K23" s="242"/>
      <c r="L23" s="242"/>
      <c r="M23" s="220" t="n">
        <f aca="false">M50</f>
        <v>27.7777777777778</v>
      </c>
      <c r="N23" s="221" t="n">
        <f aca="false">N50</f>
        <v>27.7777777777778</v>
      </c>
      <c r="O23" s="221" t="n">
        <f aca="false">O50</f>
        <v>27.7777777777778</v>
      </c>
      <c r="P23" s="222" t="n">
        <f aca="false">P50</f>
        <v>27.7777777777778</v>
      </c>
      <c r="Q23" s="258"/>
      <c r="R23" s="154"/>
    </row>
    <row r="24" customFormat="false" ht="15.75" hidden="false" customHeight="true" outlineLevel="0" collapsed="false">
      <c r="A24" s="154"/>
      <c r="B24" s="261"/>
      <c r="C24" s="262"/>
      <c r="D24" s="263"/>
      <c r="E24" s="231"/>
      <c r="F24" s="264" t="s">
        <v>135</v>
      </c>
      <c r="G24" s="240" t="n">
        <f aca="false">'2. Company Facts'!C22</f>
        <v>0</v>
      </c>
      <c r="H24" s="264" t="s">
        <v>136</v>
      </c>
      <c r="I24" s="265" t="n">
        <f aca="false">'2. Company Facts'!C23</f>
        <v>0</v>
      </c>
      <c r="J24" s="241"/>
      <c r="K24" s="242"/>
      <c r="L24" s="242"/>
      <c r="M24" s="266" t="n">
        <f aca="false">IFERROR(IF(H35='10. Industry'!A22,'3. Calc'!C102,IF(E23&lt;0.1,'3. Calc'!C103,IF(E23&gt;0.5,'3. Calc'!C105,'3. Calc'!C104))),'3. Calc'!C104)</f>
        <v>1</v>
      </c>
      <c r="N24" s="267" t="n">
        <f aca="false">IFERROR(IF(I20="-",'3. Calc'!C104,IF(I20&gt;0.1,'3. Calc'!C103,IF(I20&lt;0.001,'3. Calc'!C106,IF(I20&lt;0.03,'3. Calc'!C105,'3. Calc'!C104)))),'3. Calc'!C104)</f>
        <v>1</v>
      </c>
      <c r="O24" s="267" t="n">
        <f aca="false">IFERROR(IF(H35='10. Industry'!A22,'3. Calc'!C102,IF(E22&lt;0.1,'3. Calc'!C105,IF(E22&gt;0.25,'3. Calc'!C103,'3. Calc'!C104))),'3. Calc'!C104)</f>
        <v>1</v>
      </c>
      <c r="P24" s="268" t="n">
        <f aca="false">IF(H40="Kleinstunternehmen",'3. Calc'!C105,'3. Calc'!C104)</f>
        <v>1</v>
      </c>
      <c r="Q24" s="269"/>
      <c r="R24" s="154"/>
    </row>
    <row r="25" customFormat="false" ht="12" hidden="false" customHeight="true" outlineLevel="0" collapsed="false">
      <c r="A25" s="154"/>
      <c r="B25" s="261"/>
      <c r="C25" s="270"/>
      <c r="D25" s="271"/>
      <c r="E25" s="196"/>
      <c r="F25" s="239" t="s">
        <v>137</v>
      </c>
      <c r="G25" s="239"/>
      <c r="H25" s="239"/>
      <c r="I25" s="272" t="n">
        <f aca="false">'2. Company Facts'!C27</f>
        <v>0</v>
      </c>
      <c r="J25" s="241" t="s">
        <v>138</v>
      </c>
      <c r="K25" s="242" t="n">
        <f aca="false">K51</f>
        <v>0.5</v>
      </c>
      <c r="L25" s="189" t="n">
        <f aca="false">M29+N29+O29+P29</f>
        <v>111.111111111111</v>
      </c>
      <c r="M25" s="273" t="s">
        <v>52</v>
      </c>
      <c r="N25" s="274" t="s">
        <v>57</v>
      </c>
      <c r="O25" s="244" t="s">
        <v>62</v>
      </c>
      <c r="P25" s="245" t="s">
        <v>67</v>
      </c>
      <c r="Q25" s="258"/>
      <c r="R25" s="154"/>
    </row>
    <row r="26" customFormat="false" ht="15" hidden="false" customHeight="true" outlineLevel="0" collapsed="false">
      <c r="A26" s="154"/>
      <c r="B26" s="261"/>
      <c r="C26" s="270"/>
      <c r="D26" s="271"/>
      <c r="E26" s="196"/>
      <c r="F26" s="248" t="s">
        <v>139</v>
      </c>
      <c r="G26" s="248"/>
      <c r="H26" s="248"/>
      <c r="I26" s="275" t="n">
        <f aca="false">'2. Company Facts'!C26</f>
        <v>0</v>
      </c>
      <c r="J26" s="241"/>
      <c r="K26" s="242"/>
      <c r="L26" s="242"/>
      <c r="M26" s="273"/>
      <c r="N26" s="274"/>
      <c r="O26" s="244" t="s">
        <v>140</v>
      </c>
      <c r="P26" s="245" t="s">
        <v>141</v>
      </c>
      <c r="Q26" s="258"/>
      <c r="R26" s="154"/>
    </row>
    <row r="27" customFormat="false" ht="12" hidden="false" customHeight="true" outlineLevel="0" collapsed="false">
      <c r="A27" s="154"/>
      <c r="B27" s="261"/>
      <c r="C27" s="270"/>
      <c r="D27" s="271"/>
      <c r="E27" s="196"/>
      <c r="F27" s="276"/>
      <c r="G27" s="248" t="s">
        <v>142</v>
      </c>
      <c r="H27" s="277" t="str">
        <f aca="false">'2. Company Facts'!B30</f>
        <v>Please choose</v>
      </c>
      <c r="I27" s="278" t="n">
        <f aca="false">'2. Company Facts'!D30</f>
        <v>0</v>
      </c>
      <c r="J27" s="241"/>
      <c r="K27" s="242"/>
      <c r="L27" s="242"/>
      <c r="M27" s="200"/>
      <c r="N27" s="201"/>
      <c r="O27" s="201"/>
      <c r="P27" s="202"/>
      <c r="Q27" s="258"/>
      <c r="R27" s="154"/>
    </row>
    <row r="28" customFormat="false" ht="15" hidden="false" customHeight="true" outlineLevel="0" collapsed="false">
      <c r="A28" s="154"/>
      <c r="B28" s="169"/>
      <c r="C28" s="250"/>
      <c r="D28" s="162"/>
      <c r="E28" s="196"/>
      <c r="F28" s="276"/>
      <c r="G28" s="248" t="s">
        <v>143</v>
      </c>
      <c r="H28" s="279" t="str">
        <f aca="false">'2. Company Facts'!B31</f>
        <v>Please choose</v>
      </c>
      <c r="I28" s="280" t="n">
        <f aca="false">'2. Company Facts'!D31</f>
        <v>0</v>
      </c>
      <c r="J28" s="241"/>
      <c r="K28" s="242"/>
      <c r="L28" s="242"/>
      <c r="M28" s="255" t="n">
        <f aca="false">'3. Calc'!D39</f>
        <v>1</v>
      </c>
      <c r="N28" s="256" t="n">
        <f aca="false">'3. Calc'!D44</f>
        <v>1</v>
      </c>
      <c r="O28" s="256" t="n">
        <f aca="false">'3. Calc'!D49</f>
        <v>1</v>
      </c>
      <c r="P28" s="257" t="n">
        <f aca="false">'3. Calc'!D54</f>
        <v>1</v>
      </c>
      <c r="Q28" s="258"/>
      <c r="R28" s="154"/>
    </row>
    <row r="29" customFormat="false" ht="15" hidden="false" customHeight="true" outlineLevel="0" collapsed="false">
      <c r="A29" s="154"/>
      <c r="B29" s="169"/>
      <c r="C29" s="250"/>
      <c r="D29" s="162"/>
      <c r="E29" s="196"/>
      <c r="F29" s="276"/>
      <c r="G29" s="248" t="s">
        <v>143</v>
      </c>
      <c r="H29" s="281" t="str">
        <f aca="false">'2. Company Facts'!B32</f>
        <v>Please choose</v>
      </c>
      <c r="I29" s="282" t="n">
        <f aca="false">'2. Company Facts'!D32</f>
        <v>0</v>
      </c>
      <c r="J29" s="241"/>
      <c r="K29" s="242"/>
      <c r="L29" s="242"/>
      <c r="M29" s="220" t="n">
        <f aca="false">M51</f>
        <v>27.7777777777778</v>
      </c>
      <c r="N29" s="221" t="n">
        <f aca="false">N51</f>
        <v>27.7777777777778</v>
      </c>
      <c r="O29" s="221" t="n">
        <f aca="false">O51</f>
        <v>27.7777777777778</v>
      </c>
      <c r="P29" s="222" t="n">
        <f aca="false">P51</f>
        <v>27.7777777777778</v>
      </c>
      <c r="Q29" s="258"/>
      <c r="R29" s="154"/>
    </row>
    <row r="30" customFormat="false" ht="15" hidden="false" customHeight="true" outlineLevel="0" collapsed="false">
      <c r="A30" s="154"/>
      <c r="B30" s="169"/>
      <c r="C30" s="250"/>
      <c r="D30" s="162"/>
      <c r="E30" s="196"/>
      <c r="F30" s="248" t="s">
        <v>144</v>
      </c>
      <c r="G30" s="248"/>
      <c r="H30" s="248"/>
      <c r="I30" s="283" t="n">
        <f aca="false">'2. Company Facts'!C33</f>
        <v>0</v>
      </c>
      <c r="J30" s="241"/>
      <c r="K30" s="242"/>
      <c r="L30" s="242"/>
      <c r="M30" s="223" t="n">
        <f aca="false">'3. Calc'!C104</f>
        <v>1</v>
      </c>
      <c r="N30" s="223" t="n">
        <f aca="false">'3. Calc'!C104</f>
        <v>1</v>
      </c>
      <c r="O30" s="224" t="n">
        <f aca="false">IF(AND(OR(I31="Nein",I31="No",I31="Nao",I31="Pas"),I30&lt;10),'3. Calc'!C105,IF(I30&gt;25,'3. Calc'!C103,'3. Calc'!C104))</f>
        <v>1</v>
      </c>
      <c r="P30" s="225" t="n">
        <f aca="false">IF(I26=1,'3. Calc'!C106,IF(H40="Kleinstunternehmen",'3. Calc'!C105,IF('11.Region'!I14&gt;3.25,'3. Calc'!C103,'3. Calc'!C104)))</f>
        <v>1</v>
      </c>
      <c r="Q30" s="258"/>
      <c r="R30" s="154"/>
    </row>
    <row r="31" customFormat="false" ht="15.75" hidden="false" customHeight="true" outlineLevel="0" collapsed="false">
      <c r="A31" s="154"/>
      <c r="B31" s="261"/>
      <c r="C31" s="262"/>
      <c r="D31" s="263"/>
      <c r="E31" s="231"/>
      <c r="F31" s="284" t="s">
        <v>145</v>
      </c>
      <c r="G31" s="284"/>
      <c r="H31" s="284"/>
      <c r="I31" s="285" t="n">
        <f aca="false">'2. Company Facts'!C34</f>
        <v>0</v>
      </c>
      <c r="J31" s="241"/>
      <c r="K31" s="242"/>
      <c r="L31" s="242"/>
      <c r="M31" s="235"/>
      <c r="N31" s="236"/>
      <c r="O31" s="236"/>
      <c r="P31" s="237"/>
      <c r="Q31" s="269"/>
      <c r="R31" s="154"/>
    </row>
    <row r="32" customFormat="false" ht="12.75" hidden="false" customHeight="true" outlineLevel="0" collapsed="false">
      <c r="A32" s="154"/>
      <c r="B32" s="261"/>
      <c r="C32" s="270"/>
      <c r="D32" s="271"/>
      <c r="E32" s="196"/>
      <c r="F32" s="286" t="s">
        <v>146</v>
      </c>
      <c r="G32" s="286"/>
      <c r="H32" s="286"/>
      <c r="I32" s="287" t="n">
        <f aca="false">'2. Company Facts'!C37</f>
        <v>0</v>
      </c>
      <c r="J32" s="241" t="s">
        <v>147</v>
      </c>
      <c r="K32" s="242" t="n">
        <v>1</v>
      </c>
      <c r="L32" s="189" t="n">
        <f aca="false">M36+N36+O36+P36</f>
        <v>222.222222222222</v>
      </c>
      <c r="M32" s="288" t="s">
        <v>73</v>
      </c>
      <c r="N32" s="289" t="s">
        <v>77</v>
      </c>
      <c r="O32" s="191" t="s">
        <v>81</v>
      </c>
      <c r="P32" s="192" t="s">
        <v>85</v>
      </c>
      <c r="Q32" s="258"/>
      <c r="R32" s="154"/>
    </row>
    <row r="33" customFormat="false" ht="15" hidden="false" customHeight="true" outlineLevel="0" collapsed="false">
      <c r="A33" s="154"/>
      <c r="B33" s="261"/>
      <c r="C33" s="270"/>
      <c r="D33" s="271"/>
      <c r="E33" s="196"/>
      <c r="F33" s="197"/>
      <c r="G33" s="197"/>
      <c r="H33" s="197" t="s">
        <v>148</v>
      </c>
      <c r="I33" s="290" t="n">
        <f aca="false">'2. Company Facts'!C38</f>
        <v>0</v>
      </c>
      <c r="J33" s="241"/>
      <c r="K33" s="242"/>
      <c r="L33" s="242"/>
      <c r="M33" s="288"/>
      <c r="N33" s="289"/>
      <c r="O33" s="191"/>
      <c r="P33" s="192"/>
      <c r="Q33" s="258"/>
      <c r="R33" s="154"/>
    </row>
    <row r="34" customFormat="false" ht="23.25" hidden="false" customHeight="true" outlineLevel="0" collapsed="false">
      <c r="A34" s="154"/>
      <c r="B34" s="261"/>
      <c r="C34" s="270"/>
      <c r="D34" s="271"/>
      <c r="E34" s="196"/>
      <c r="F34" s="198" t="s">
        <v>120</v>
      </c>
      <c r="G34" s="198" t="s">
        <v>121</v>
      </c>
      <c r="H34" s="291" t="s">
        <v>149</v>
      </c>
      <c r="I34" s="239" t="s">
        <v>150</v>
      </c>
      <c r="J34" s="241"/>
      <c r="K34" s="242"/>
      <c r="L34" s="242"/>
      <c r="M34" s="200"/>
      <c r="N34" s="201"/>
      <c r="O34" s="201"/>
      <c r="P34" s="202"/>
      <c r="Q34" s="258"/>
      <c r="R34" s="154"/>
    </row>
    <row r="35" customFormat="false" ht="15" hidden="false" customHeight="true" outlineLevel="0" collapsed="false">
      <c r="A35" s="154"/>
      <c r="B35" s="261"/>
      <c r="C35" s="270"/>
      <c r="D35" s="271"/>
      <c r="E35" s="196"/>
      <c r="F35" s="292" t="str">
        <f aca="false">'2. Company Facts'!B41</f>
        <v>Please choose</v>
      </c>
      <c r="G35" s="293" t="n">
        <f aca="false">'2. Company Facts'!C41</f>
        <v>0</v>
      </c>
      <c r="H35" s="291" t="str">
        <f aca="false">LEFT(F35,2)</f>
        <v>Pl</v>
      </c>
      <c r="I35" s="294" t="n">
        <f aca="false">'2. Company Facts'!D41</f>
        <v>0</v>
      </c>
      <c r="J35" s="241"/>
      <c r="K35" s="242"/>
      <c r="L35" s="242"/>
      <c r="M35" s="255" t="n">
        <f aca="false">'3. Calc'!D60</f>
        <v>1</v>
      </c>
      <c r="N35" s="256" t="n">
        <f aca="false">'3. Calc'!D64</f>
        <v>1</v>
      </c>
      <c r="O35" s="256" t="n">
        <f aca="false">'3. Calc'!D68</f>
        <v>1</v>
      </c>
      <c r="P35" s="257" t="n">
        <f aca="false">'3. Calc'!D72</f>
        <v>1</v>
      </c>
      <c r="Q35" s="258"/>
      <c r="R35" s="154"/>
    </row>
    <row r="36" customFormat="false" ht="15" hidden="false" customHeight="true" outlineLevel="0" collapsed="false">
      <c r="A36" s="154"/>
      <c r="B36" s="261"/>
      <c r="C36" s="270"/>
      <c r="D36" s="271"/>
      <c r="E36" s="196"/>
      <c r="F36" s="295" t="str">
        <f aca="false">'2. Company Facts'!B42</f>
        <v>Please choose</v>
      </c>
      <c r="G36" s="296" t="n">
        <f aca="false">'2. Company Facts'!C42</f>
        <v>0</v>
      </c>
      <c r="H36" s="291" t="str">
        <f aca="false">LEFT(F36,2)</f>
        <v>Pl</v>
      </c>
      <c r="I36" s="297" t="n">
        <f aca="false">'2. Company Facts'!D42</f>
        <v>0</v>
      </c>
      <c r="J36" s="241"/>
      <c r="K36" s="242"/>
      <c r="L36" s="242"/>
      <c r="M36" s="220" t="n">
        <f aca="false">M52</f>
        <v>55.5555555555556</v>
      </c>
      <c r="N36" s="221" t="n">
        <f aca="false">N52</f>
        <v>55.5555555555556</v>
      </c>
      <c r="O36" s="221" t="n">
        <f aca="false">O52</f>
        <v>55.5555555555556</v>
      </c>
      <c r="P36" s="222" t="n">
        <f aca="false">P52</f>
        <v>55.5555555555556</v>
      </c>
      <c r="Q36" s="258"/>
      <c r="R36" s="154"/>
    </row>
    <row r="37" customFormat="false" ht="15.75" hidden="false" customHeight="true" outlineLevel="0" collapsed="false">
      <c r="A37" s="154"/>
      <c r="B37" s="298"/>
      <c r="C37" s="299"/>
      <c r="D37" s="300"/>
      <c r="E37" s="231"/>
      <c r="F37" s="301" t="str">
        <f aca="false">'2. Company Facts'!B43</f>
        <v>Please choose</v>
      </c>
      <c r="G37" s="302" t="n">
        <f aca="false">'2. Company Facts'!C43</f>
        <v>0</v>
      </c>
      <c r="H37" s="291" t="str">
        <f aca="false">LEFT(F37,2)</f>
        <v>Pl</v>
      </c>
      <c r="I37" s="303" t="n">
        <f aca="false">'2. Company Facts'!D43</f>
        <v>0</v>
      </c>
      <c r="J37" s="241"/>
      <c r="K37" s="242"/>
      <c r="L37" s="242"/>
      <c r="M37" s="266" t="n">
        <f aca="false">'3. Calc'!C104</f>
        <v>1</v>
      </c>
      <c r="N37" s="266" t="n">
        <f aca="false">'3. Calc'!C104</f>
        <v>1</v>
      </c>
      <c r="O37" s="267" t="n">
        <f aca="false">VLOOKUP(S37,'3. Calc'!$B$102:$C$106,2,FALSE())</f>
        <v>1</v>
      </c>
      <c r="P37" s="268" t="n">
        <f aca="false">IFERROR(IF(I33="Ja",'3. Calc'!C103,'3. Calc'!C104),'3. Calc'!C104)</f>
        <v>1</v>
      </c>
      <c r="Q37" s="269"/>
      <c r="R37" s="154"/>
      <c r="S37" s="304" t="n">
        <f aca="false">VLOOKUP('10. Industry'!J39,F49:H53,3,FALSE())</f>
        <v>1</v>
      </c>
    </row>
    <row r="38" customFormat="false" ht="20.25" hidden="false" customHeight="true" outlineLevel="0" collapsed="false">
      <c r="A38" s="154"/>
      <c r="B38" s="298"/>
      <c r="C38" s="305"/>
      <c r="D38" s="298"/>
      <c r="E38" s="196"/>
      <c r="F38" s="196"/>
      <c r="G38" s="196"/>
      <c r="H38" s="196"/>
      <c r="I38" s="196"/>
      <c r="J38" s="187" t="s">
        <v>151</v>
      </c>
      <c r="K38" s="306" t="n">
        <v>1</v>
      </c>
      <c r="L38" s="189" t="n">
        <f aca="false">M42+N42+O42+P42</f>
        <v>222.222222222222</v>
      </c>
      <c r="M38" s="273" t="s">
        <v>89</v>
      </c>
      <c r="N38" s="244" t="s">
        <v>93</v>
      </c>
      <c r="O38" s="244" t="s">
        <v>98</v>
      </c>
      <c r="P38" s="245" t="s">
        <v>102</v>
      </c>
      <c r="Q38" s="258"/>
      <c r="R38" s="154"/>
    </row>
    <row r="39" customFormat="false" ht="20.25" hidden="false" customHeight="true" outlineLevel="0" collapsed="false">
      <c r="A39" s="154"/>
      <c r="B39" s="298"/>
      <c r="C39" s="305"/>
      <c r="D39" s="298"/>
      <c r="E39" s="196"/>
      <c r="F39" s="196"/>
      <c r="G39" s="196"/>
      <c r="H39" s="196" t="str">
        <f aca="false">IF(AND(I26&lt;10,OR(I32&lt;=2000000,I23&lt;=2000000)),'12.lan'!D324,IF(AND(I26&lt;50,OR(I32&lt;=10000000,I23&lt;=10000000)),'12.lan'!D325,IF(AND(I26&lt;250,OR(I32&lt;=50000000,I23&lt;=43000000)),'12.lan'!D326,'12.lan'!D327)))</f>
        <v>Micro-business</v>
      </c>
      <c r="I39" s="196"/>
      <c r="J39" s="187"/>
      <c r="K39" s="306"/>
      <c r="L39" s="306"/>
      <c r="M39" s="273"/>
      <c r="N39" s="244"/>
      <c r="O39" s="244"/>
      <c r="P39" s="245"/>
      <c r="Q39" s="258"/>
      <c r="R39" s="154"/>
    </row>
    <row r="40" customFormat="false" ht="15" hidden="false" customHeight="true" outlineLevel="0" collapsed="false">
      <c r="A40" s="154"/>
      <c r="B40" s="298"/>
      <c r="C40" s="305"/>
      <c r="D40" s="298"/>
      <c r="E40" s="196"/>
      <c r="F40" s="196" t="s">
        <v>152</v>
      </c>
      <c r="G40" s="196"/>
      <c r="H40" s="196" t="str">
        <f aca="false">IF(AND(I26=0,I32=0,I23=0),'12.lan'!E326)</f>
        <v>Mittleres Unternehmen</v>
      </c>
      <c r="I40" s="196"/>
      <c r="J40" s="187"/>
      <c r="K40" s="306"/>
      <c r="L40" s="306"/>
      <c r="M40" s="200"/>
      <c r="N40" s="200"/>
      <c r="O40" s="200"/>
      <c r="P40" s="202"/>
      <c r="Q40" s="258"/>
      <c r="R40" s="154"/>
    </row>
    <row r="41" customFormat="false" ht="14.25" hidden="false" customHeight="true" outlineLevel="0" collapsed="false">
      <c r="A41" s="154"/>
      <c r="B41" s="298"/>
      <c r="C41" s="305"/>
      <c r="D41" s="298"/>
      <c r="E41" s="196"/>
      <c r="F41" s="196"/>
      <c r="G41" s="196"/>
      <c r="H41" s="196"/>
      <c r="I41" s="196"/>
      <c r="J41" s="187"/>
      <c r="K41" s="306"/>
      <c r="L41" s="306"/>
      <c r="M41" s="255" t="n">
        <f aca="false">'3. Calc'!D77</f>
        <v>1</v>
      </c>
      <c r="N41" s="256" t="n">
        <f aca="false">'3. Calc'!D81</f>
        <v>1</v>
      </c>
      <c r="O41" s="256" t="n">
        <f aca="false">'3. Calc'!D86</f>
        <v>1</v>
      </c>
      <c r="P41" s="257" t="n">
        <f aca="false">'3. Calc'!D90</f>
        <v>1</v>
      </c>
      <c r="Q41" s="258"/>
      <c r="R41" s="154"/>
    </row>
    <row r="42" customFormat="false" ht="15.75" hidden="false" customHeight="true" outlineLevel="0" collapsed="false">
      <c r="A42" s="154"/>
      <c r="B42" s="298"/>
      <c r="C42" s="299"/>
      <c r="D42" s="300"/>
      <c r="E42" s="231"/>
      <c r="F42" s="231"/>
      <c r="G42" s="231"/>
      <c r="H42" s="231"/>
      <c r="I42" s="231"/>
      <c r="J42" s="187"/>
      <c r="K42" s="306"/>
      <c r="L42" s="306"/>
      <c r="M42" s="307" t="n">
        <f aca="false">M53</f>
        <v>55.5555555555556</v>
      </c>
      <c r="N42" s="308" t="n">
        <f aca="false">N53</f>
        <v>55.5555555555556</v>
      </c>
      <c r="O42" s="308" t="n">
        <f aca="false">O53</f>
        <v>55.5555555555556</v>
      </c>
      <c r="P42" s="309" t="n">
        <f aca="false">P53</f>
        <v>55.5555555555556</v>
      </c>
      <c r="Q42" s="269"/>
      <c r="R42" s="154"/>
    </row>
    <row r="43" customFormat="false" ht="12.75" hidden="false" customHeight="true" outlineLevel="0" collapsed="false">
      <c r="A43" s="154"/>
      <c r="B43" s="156"/>
      <c r="C43" s="156"/>
      <c r="D43" s="156"/>
      <c r="E43" s="156"/>
      <c r="F43" s="156"/>
      <c r="G43" s="156"/>
      <c r="H43" s="156"/>
      <c r="I43" s="156"/>
      <c r="J43" s="156"/>
      <c r="K43" s="156"/>
      <c r="L43" s="156"/>
      <c r="M43" s="310" t="n">
        <f aca="false">'3. Calc'!C104</f>
        <v>1</v>
      </c>
      <c r="N43" s="310" t="n">
        <f aca="false">IF(I20="-",'3. Calc'!C104,IF(I20&lt;0.05,'3. Calc'!C105,IF(I20&lt;0.1,'3. Calc'!C104,IF(I20&gt;0.1,'3. Calc'!C103,'3. Calc'!C104))))</f>
        <v>1</v>
      </c>
      <c r="O43" s="310" t="n">
        <f aca="false">VLOOKUP(S37,'3. Calc'!$B$102:$C$106,2,FALSE())</f>
        <v>1</v>
      </c>
      <c r="P43" s="310" t="n">
        <f aca="false">IF(H35="B",'3. Calc'!C103,IF(H35="F",'3. Calc'!C103,IF(H40="Kleinstunternehmen",'3. Calc'!C105,IF(H40="Kleinunternehmen",'3. Calc'!C105,'3. Calc'!C104))))</f>
        <v>1</v>
      </c>
      <c r="Q43" s="156"/>
      <c r="R43" s="154"/>
      <c r="S43" s="154" t="n">
        <f aca="false">VLOOKUP('10. Industry'!L39,F49:H53,3,FALSE())</f>
        <v>1</v>
      </c>
    </row>
    <row r="44" customFormat="false" ht="24" hidden="false" customHeight="true" outlineLevel="0" collapsed="false">
      <c r="A44" s="154"/>
      <c r="B44" s="159"/>
      <c r="C44" s="159"/>
      <c r="D44" s="159"/>
      <c r="E44" s="159"/>
      <c r="F44" s="159"/>
      <c r="G44" s="159"/>
      <c r="H44" s="159"/>
      <c r="I44" s="159"/>
      <c r="J44" s="159"/>
      <c r="K44" s="159"/>
      <c r="L44" s="159"/>
      <c r="M44" s="159"/>
      <c r="N44" s="159"/>
      <c r="O44" s="159"/>
      <c r="P44" s="159"/>
      <c r="Q44" s="161"/>
      <c r="R44" s="154"/>
    </row>
    <row r="45" customFormat="false" ht="16.5" hidden="false" customHeight="true" outlineLevel="0" collapsed="false">
      <c r="A45" s="154"/>
      <c r="B45" s="175"/>
      <c r="C45" s="175"/>
      <c r="D45" s="175"/>
      <c r="E45" s="175"/>
      <c r="F45" s="175"/>
      <c r="G45" s="175"/>
      <c r="H45" s="175"/>
      <c r="I45" s="175"/>
      <c r="J45" s="175"/>
      <c r="K45" s="175"/>
      <c r="L45" s="175"/>
      <c r="M45" s="311" t="s">
        <v>153</v>
      </c>
      <c r="N45" s="311" t="s">
        <v>154</v>
      </c>
      <c r="O45" s="311" t="s">
        <v>110</v>
      </c>
      <c r="P45" s="311" t="s">
        <v>155</v>
      </c>
      <c r="Q45" s="168"/>
      <c r="R45" s="154"/>
    </row>
    <row r="46" customFormat="false" ht="24.75" hidden="false" customHeight="true" outlineLevel="0" collapsed="false">
      <c r="A46" s="154"/>
      <c r="B46" s="175"/>
      <c r="C46" s="175"/>
      <c r="D46" s="175"/>
      <c r="E46" s="175"/>
      <c r="F46" s="175"/>
      <c r="G46" s="175"/>
      <c r="H46" s="175"/>
      <c r="I46" s="175"/>
      <c r="J46" s="175"/>
      <c r="K46" s="175"/>
      <c r="L46" s="175"/>
      <c r="M46" s="311"/>
      <c r="N46" s="311"/>
      <c r="O46" s="311"/>
      <c r="P46" s="311"/>
      <c r="Q46" s="168"/>
      <c r="R46" s="154"/>
    </row>
    <row r="47" customFormat="false" ht="24.75" hidden="false" customHeight="true" outlineLevel="0" collapsed="false">
      <c r="A47" s="154"/>
      <c r="B47" s="175"/>
      <c r="C47" s="175"/>
      <c r="D47" s="175"/>
      <c r="E47" s="175"/>
      <c r="F47" s="175"/>
      <c r="G47" s="175"/>
      <c r="H47" s="175"/>
      <c r="I47" s="175"/>
      <c r="J47" s="175"/>
      <c r="K47" s="175"/>
      <c r="L47" s="175"/>
      <c r="M47" s="311"/>
      <c r="N47" s="311"/>
      <c r="O47" s="311"/>
      <c r="P47" s="311"/>
      <c r="Q47" s="168"/>
      <c r="R47" s="154"/>
    </row>
    <row r="48" customFormat="false" ht="26.25" hidden="false" customHeight="true" outlineLevel="0" collapsed="false">
      <c r="A48" s="154"/>
      <c r="B48" s="175"/>
      <c r="C48" s="175"/>
      <c r="D48" s="175"/>
      <c r="F48" s="196" t="s">
        <v>156</v>
      </c>
      <c r="G48" s="196"/>
      <c r="H48" s="196"/>
      <c r="I48" s="195"/>
      <c r="J48" s="195"/>
      <c r="K48" s="175"/>
      <c r="L48" s="175"/>
      <c r="M48" s="291"/>
      <c r="N48" s="291"/>
      <c r="O48" s="291"/>
      <c r="P48" s="291"/>
      <c r="Q48" s="168"/>
      <c r="R48" s="155" t="s">
        <v>157</v>
      </c>
    </row>
    <row r="49" customFormat="false" ht="18.75" hidden="false" customHeight="true" outlineLevel="0" collapsed="false">
      <c r="A49" s="154"/>
      <c r="B49" s="312"/>
      <c r="C49" s="312"/>
      <c r="D49" s="312"/>
      <c r="E49" s="312"/>
      <c r="F49" s="312" t="s">
        <v>158</v>
      </c>
      <c r="G49" s="313"/>
      <c r="H49" s="314" t="n">
        <v>0</v>
      </c>
      <c r="I49" s="315" t="n">
        <f aca="false">IFERROR((60*'11.Region'!G3/('11.Region'!G3+'11.Region'!G10+(I19+I21+I22+G24))*5),100)</f>
        <v>285.40906932736</v>
      </c>
      <c r="J49" s="315" t="n">
        <f aca="false">IF(I49&lt;60,60,IF(I49&gt;300,300,I49))</f>
        <v>285.40906932736</v>
      </c>
      <c r="K49" s="316" t="n">
        <f aca="false">IFERROR(IF(J49=60,0.5,IF(J49=300,2,IF(J49&lt;180,1,1.5))),1)</f>
        <v>1.5</v>
      </c>
      <c r="L49" s="316"/>
      <c r="M49" s="317" t="n">
        <f aca="false">M62/$Q$67*1000</f>
        <v>83.3333333333333</v>
      </c>
      <c r="N49" s="317" t="n">
        <f aca="false">N62/$Q$67*1000</f>
        <v>83.3333333333333</v>
      </c>
      <c r="O49" s="317" t="n">
        <f aca="false">O62/$Q$67*1000</f>
        <v>83.3333333333333</v>
      </c>
      <c r="P49" s="317" t="n">
        <f aca="false">P62/$Q$67*1000</f>
        <v>83.3333333333333</v>
      </c>
      <c r="Q49" s="318" t="n">
        <f aca="false">SUM(M49:P49)</f>
        <v>333.333333333333</v>
      </c>
      <c r="R49" s="155" t="n">
        <f aca="false">'3. Calc'!D9</f>
        <v>1.5</v>
      </c>
    </row>
    <row r="50" customFormat="false" ht="18.75" hidden="false" customHeight="true" outlineLevel="0" collapsed="false">
      <c r="A50" s="154"/>
      <c r="B50" s="196"/>
      <c r="C50" s="196"/>
      <c r="D50" s="196"/>
      <c r="E50" s="196"/>
      <c r="F50" s="196" t="s">
        <v>159</v>
      </c>
      <c r="G50" s="319"/>
      <c r="H50" s="196" t="n">
        <v>0.5</v>
      </c>
      <c r="I50" s="315" t="n">
        <f aca="false">IFERROR((60*(I19+I21+I22+G24)/('11.Region'!G3+'11.Region'!G10+(I19+I21+I22+G24))*10),100)</f>
        <v>29.1818613452802</v>
      </c>
      <c r="J50" s="315" t="n">
        <f aca="false">IF(I50&lt;60,60,IF(I50&gt;300,300,I50))</f>
        <v>60</v>
      </c>
      <c r="K50" s="316" t="n">
        <f aca="false">IFERROR(IF(J50=60,0.5,IF(J50=300,2,IF(J50&lt;180,1,1.5))),1)</f>
        <v>0.5</v>
      </c>
      <c r="L50" s="316"/>
      <c r="M50" s="317" t="n">
        <f aca="false">M63/$Q$67*1000</f>
        <v>27.7777777777778</v>
      </c>
      <c r="N50" s="317" t="n">
        <f aca="false">N63/$Q$67*1000</f>
        <v>27.7777777777778</v>
      </c>
      <c r="O50" s="317" t="n">
        <f aca="false">O63/$Q$67*1000</f>
        <v>27.7777777777778</v>
      </c>
      <c r="P50" s="317" t="n">
        <f aca="false">P63/$Q$67*1000</f>
        <v>27.7777777777778</v>
      </c>
      <c r="Q50" s="318" t="n">
        <f aca="false">SUM(M50:P50)</f>
        <v>111.111111111111</v>
      </c>
      <c r="R50" s="155" t="n">
        <f aca="false">'3. Calc'!D23</f>
        <v>0.5</v>
      </c>
    </row>
    <row r="51" customFormat="false" ht="18.75" hidden="false" customHeight="true" outlineLevel="0" collapsed="false">
      <c r="A51" s="154"/>
      <c r="B51" s="196"/>
      <c r="C51" s="196"/>
      <c r="D51" s="196"/>
      <c r="E51" s="196"/>
      <c r="F51" s="196" t="s">
        <v>160</v>
      </c>
      <c r="G51" s="319"/>
      <c r="H51" s="196" t="n">
        <v>1</v>
      </c>
      <c r="I51" s="315" t="n">
        <f aca="false">IFERROR((60*'11.Region'!G10/('11.Region'!G3+'11.Region'!G10+(I19+I21+I22+G24))*10),100)</f>
        <v>0</v>
      </c>
      <c r="J51" s="315" t="n">
        <f aca="false">IF(I51&lt;60,60,IF(I51&gt;300,300,I51))</f>
        <v>60</v>
      </c>
      <c r="K51" s="316" t="n">
        <f aca="false">IFERROR(IF(J51=60,0.5,IF(J51=300,2,IF(J51&lt;180,1,1.5))),1)</f>
        <v>0.5</v>
      </c>
      <c r="L51" s="316"/>
      <c r="M51" s="317" t="n">
        <f aca="false">M64/$Q$67*1000</f>
        <v>27.7777777777778</v>
      </c>
      <c r="N51" s="317" t="n">
        <f aca="false">N64/$Q$67*1000</f>
        <v>27.7777777777778</v>
      </c>
      <c r="O51" s="317" t="n">
        <f aca="false">O64/$Q$67*1000</f>
        <v>27.7777777777778</v>
      </c>
      <c r="P51" s="317" t="n">
        <f aca="false">P64/$Q$67*1000</f>
        <v>27.7777777777778</v>
      </c>
      <c r="Q51" s="318" t="n">
        <f aca="false">SUM(M51:P51)</f>
        <v>111.111111111111</v>
      </c>
      <c r="R51" s="155" t="n">
        <f aca="false">'3. Calc'!D38</f>
        <v>0.5</v>
      </c>
    </row>
    <row r="52" customFormat="false" ht="18.75" hidden="false" customHeight="true" outlineLevel="0" collapsed="false">
      <c r="A52" s="154"/>
      <c r="B52" s="196"/>
      <c r="C52" s="196"/>
      <c r="D52" s="196"/>
      <c r="E52" s="196"/>
      <c r="F52" s="196" t="s">
        <v>161</v>
      </c>
      <c r="G52" s="319"/>
      <c r="H52" s="196" t="n">
        <v>1.5</v>
      </c>
      <c r="I52" s="196"/>
      <c r="J52" s="196"/>
      <c r="K52" s="316" t="n">
        <f aca="false">K32</f>
        <v>1</v>
      </c>
      <c r="L52" s="316"/>
      <c r="M52" s="317" t="n">
        <f aca="false">M65/$Q$67*1000</f>
        <v>55.5555555555556</v>
      </c>
      <c r="N52" s="317" t="n">
        <f aca="false">N65/$Q$67*1000</f>
        <v>55.5555555555556</v>
      </c>
      <c r="O52" s="317" t="n">
        <f aca="false">O65/$Q$67*1000</f>
        <v>55.5555555555556</v>
      </c>
      <c r="P52" s="317" t="n">
        <f aca="false">P65/$Q$67*1000</f>
        <v>55.5555555555556</v>
      </c>
      <c r="Q52" s="318" t="n">
        <f aca="false">SUM(M52:P52)</f>
        <v>222.222222222222</v>
      </c>
      <c r="R52" s="155" t="n">
        <f aca="false">'3. Calc'!D59</f>
        <v>1</v>
      </c>
    </row>
    <row r="53" customFormat="false" ht="18.75" hidden="false" customHeight="true" outlineLevel="0" collapsed="false">
      <c r="A53" s="154"/>
      <c r="B53" s="196"/>
      <c r="C53" s="196"/>
      <c r="D53" s="196"/>
      <c r="E53" s="196"/>
      <c r="F53" s="196" t="s">
        <v>162</v>
      </c>
      <c r="G53" s="319"/>
      <c r="H53" s="196" t="n">
        <v>2</v>
      </c>
      <c r="I53" s="196"/>
      <c r="J53" s="196"/>
      <c r="K53" s="316" t="n">
        <f aca="false">K38</f>
        <v>1</v>
      </c>
      <c r="L53" s="316"/>
      <c r="M53" s="317" t="n">
        <f aca="false">M66/$Q$67*1000</f>
        <v>55.5555555555556</v>
      </c>
      <c r="N53" s="317" t="n">
        <f aca="false">N66/$Q$67*1000</f>
        <v>55.5555555555556</v>
      </c>
      <c r="O53" s="317" t="n">
        <f aca="false">O66/$Q$67*1000</f>
        <v>55.5555555555556</v>
      </c>
      <c r="P53" s="317" t="n">
        <f aca="false">P66/$Q$67*1000</f>
        <v>55.5555555555556</v>
      </c>
      <c r="Q53" s="318" t="n">
        <f aca="false">SUM(M53:P53)</f>
        <v>222.222222222222</v>
      </c>
      <c r="R53" s="155" t="n">
        <f aca="false">'3. Calc'!D76</f>
        <v>1</v>
      </c>
    </row>
    <row r="54" customFormat="false" ht="18.75" hidden="false" customHeight="true" outlineLevel="0" collapsed="false">
      <c r="A54" s="154"/>
      <c r="B54" s="320"/>
      <c r="C54" s="320"/>
      <c r="D54" s="320"/>
      <c r="E54" s="320"/>
      <c r="F54" s="320"/>
      <c r="G54" s="320"/>
      <c r="H54" s="320"/>
      <c r="I54" s="320"/>
      <c r="J54" s="320"/>
      <c r="K54" s="320"/>
      <c r="L54" s="320"/>
      <c r="M54" s="321" t="n">
        <f aca="false">SUM(M49:M53)</f>
        <v>250</v>
      </c>
      <c r="N54" s="321" t="n">
        <f aca="false">SUM(N49:N53)</f>
        <v>250</v>
      </c>
      <c r="O54" s="321" t="n">
        <f aca="false">SUM(O49:O53)</f>
        <v>250</v>
      </c>
      <c r="P54" s="321" t="n">
        <f aca="false">SUM(P49:P53)</f>
        <v>250</v>
      </c>
      <c r="Q54" s="322" t="n">
        <f aca="false">SUM(Q49:Q53)</f>
        <v>1000</v>
      </c>
      <c r="R54" s="154"/>
    </row>
    <row r="55" customFormat="false" ht="18.75" hidden="false" customHeight="true" outlineLevel="0" collapsed="false">
      <c r="A55" s="154"/>
      <c r="B55" s="154"/>
      <c r="C55" s="154"/>
      <c r="D55" s="154"/>
      <c r="E55" s="154"/>
      <c r="F55" s="154"/>
      <c r="G55" s="154"/>
      <c r="H55" s="154"/>
      <c r="I55" s="154"/>
      <c r="J55" s="154"/>
      <c r="K55" s="154"/>
      <c r="L55" s="154"/>
      <c r="M55" s="155"/>
      <c r="N55" s="155"/>
      <c r="O55" s="155"/>
      <c r="P55" s="155"/>
      <c r="Q55" s="154"/>
      <c r="R55" s="154"/>
    </row>
    <row r="56" customFormat="false" ht="24.75" hidden="false" customHeight="true" outlineLevel="0" collapsed="false">
      <c r="A56" s="154"/>
      <c r="B56" s="154"/>
      <c r="C56" s="154"/>
      <c r="D56" s="154"/>
      <c r="E56" s="154"/>
      <c r="F56" s="154"/>
      <c r="G56" s="154"/>
      <c r="H56" s="154"/>
      <c r="I56" s="154"/>
      <c r="J56" s="154"/>
      <c r="K56" s="154"/>
      <c r="L56" s="154"/>
      <c r="M56" s="155"/>
      <c r="N56" s="155"/>
      <c r="O56" s="155"/>
      <c r="P56" s="155"/>
      <c r="Q56" s="154"/>
      <c r="R56" s="154"/>
    </row>
    <row r="57" customFormat="false" ht="24.75" hidden="false" customHeight="true" outlineLevel="0" collapsed="false">
      <c r="A57" s="154"/>
      <c r="B57" s="154"/>
      <c r="C57" s="154"/>
      <c r="D57" s="154"/>
      <c r="E57" s="154"/>
      <c r="F57" s="154"/>
      <c r="G57" s="154"/>
      <c r="H57" s="154"/>
      <c r="I57" s="154"/>
      <c r="J57" s="154"/>
      <c r="K57" s="154"/>
      <c r="L57" s="154"/>
      <c r="M57" s="155"/>
      <c r="N57" s="155"/>
      <c r="O57" s="155"/>
      <c r="P57" s="155"/>
      <c r="Q57" s="154"/>
      <c r="R57" s="154"/>
    </row>
    <row r="58" customFormat="false" ht="27.75" hidden="false" customHeight="true" outlineLevel="0" collapsed="false">
      <c r="A58" s="154"/>
      <c r="B58" s="323"/>
      <c r="C58" s="323"/>
      <c r="D58" s="323"/>
      <c r="E58" s="323"/>
      <c r="F58" s="323"/>
      <c r="G58" s="323"/>
      <c r="H58" s="323"/>
      <c r="I58" s="323"/>
      <c r="J58" s="323"/>
      <c r="K58" s="323"/>
      <c r="L58" s="323"/>
      <c r="M58" s="323"/>
      <c r="N58" s="323"/>
      <c r="O58" s="323"/>
      <c r="P58" s="323"/>
      <c r="Q58" s="323"/>
      <c r="R58" s="156"/>
      <c r="S58" s="156"/>
    </row>
    <row r="59" customFormat="false" ht="27.75" hidden="false" customHeight="true" outlineLevel="0" collapsed="false">
      <c r="A59" s="154"/>
      <c r="B59" s="175"/>
      <c r="C59" s="175"/>
      <c r="D59" s="175"/>
      <c r="E59" s="175"/>
      <c r="F59" s="175"/>
      <c r="G59" s="175"/>
      <c r="H59" s="175"/>
      <c r="I59" s="175"/>
      <c r="J59" s="175"/>
      <c r="K59" s="175"/>
      <c r="L59" s="175"/>
      <c r="M59" s="311" t="s">
        <v>153</v>
      </c>
      <c r="N59" s="311" t="s">
        <v>154</v>
      </c>
      <c r="O59" s="311" t="s">
        <v>110</v>
      </c>
      <c r="P59" s="311" t="s">
        <v>155</v>
      </c>
      <c r="Q59" s="168"/>
      <c r="R59" s="156"/>
      <c r="S59" s="156"/>
    </row>
    <row r="60" customFormat="false" ht="19.5" hidden="false" customHeight="true" outlineLevel="0" collapsed="false">
      <c r="A60" s="154"/>
      <c r="B60" s="175"/>
      <c r="C60" s="175"/>
      <c r="D60" s="175"/>
      <c r="E60" s="175"/>
      <c r="F60" s="175"/>
      <c r="G60" s="175"/>
      <c r="H60" s="175"/>
      <c r="I60" s="175"/>
      <c r="J60" s="175"/>
      <c r="K60" s="175"/>
      <c r="L60" s="175"/>
      <c r="M60" s="311"/>
      <c r="N60" s="311"/>
      <c r="O60" s="311"/>
      <c r="P60" s="311"/>
      <c r="Q60" s="168"/>
      <c r="R60" s="154"/>
    </row>
    <row r="61" s="324" customFormat="true" ht="23.25" hidden="false" customHeight="true" outlineLevel="0" collapsed="false">
      <c r="A61" s="156"/>
      <c r="B61" s="175"/>
      <c r="C61" s="175"/>
      <c r="D61" s="175"/>
      <c r="E61" s="175"/>
      <c r="F61" s="175"/>
      <c r="G61" s="175"/>
      <c r="H61" s="175"/>
      <c r="I61" s="175"/>
      <c r="J61" s="175"/>
      <c r="K61" s="175"/>
      <c r="L61" s="175"/>
      <c r="M61" s="291" t="n">
        <v>1</v>
      </c>
      <c r="N61" s="291" t="n">
        <v>1</v>
      </c>
      <c r="O61" s="291" t="n">
        <v>1</v>
      </c>
      <c r="P61" s="291" t="n">
        <v>1</v>
      </c>
      <c r="Q61" s="168"/>
      <c r="R61" s="154"/>
      <c r="S61" s="154"/>
      <c r="T61" s="156"/>
      <c r="U61" s="156"/>
      <c r="V61" s="156"/>
      <c r="W61" s="156"/>
      <c r="X61" s="156"/>
      <c r="Y61" s="156"/>
    </row>
    <row r="62" s="324" customFormat="true" ht="54" hidden="false" customHeight="true" outlineLevel="0" collapsed="false">
      <c r="A62" s="156"/>
      <c r="B62" s="312"/>
      <c r="C62" s="312"/>
      <c r="D62" s="312"/>
      <c r="E62" s="312"/>
      <c r="F62" s="312"/>
      <c r="G62" s="312"/>
      <c r="H62" s="312"/>
      <c r="I62" s="312"/>
      <c r="J62" s="312"/>
      <c r="K62" s="325" t="n">
        <f aca="false">IF(K49=R49,K49,R49)</f>
        <v>1.5</v>
      </c>
      <c r="L62" s="325"/>
      <c r="M62" s="326" t="n">
        <f aca="false">M14*$K$62</f>
        <v>1.5</v>
      </c>
      <c r="N62" s="326" t="n">
        <f aca="false">N14*$K$62</f>
        <v>1.5</v>
      </c>
      <c r="O62" s="326" t="n">
        <f aca="false">O14*$K$62</f>
        <v>1.5</v>
      </c>
      <c r="P62" s="326" t="n">
        <f aca="false">P14*$K$62</f>
        <v>1.5</v>
      </c>
      <c r="Q62" s="318" t="n">
        <f aca="false">SUM(M62:P62)</f>
        <v>6</v>
      </c>
      <c r="R62" s="154"/>
      <c r="S62" s="154"/>
      <c r="T62" s="156"/>
      <c r="U62" s="156"/>
      <c r="V62" s="156"/>
      <c r="W62" s="156"/>
      <c r="X62" s="156"/>
      <c r="Y62" s="156"/>
    </row>
    <row r="63" customFormat="false" ht="27" hidden="false" customHeight="true" outlineLevel="0" collapsed="false">
      <c r="A63" s="154"/>
      <c r="B63" s="196"/>
      <c r="C63" s="196"/>
      <c r="D63" s="196"/>
      <c r="E63" s="196"/>
      <c r="F63" s="196"/>
      <c r="G63" s="196"/>
      <c r="H63" s="196"/>
      <c r="I63" s="196"/>
      <c r="J63" s="196"/>
      <c r="K63" s="325" t="n">
        <f aca="false">IF(K50=R50,K50,R50)</f>
        <v>0.5</v>
      </c>
      <c r="L63" s="325"/>
      <c r="M63" s="326" t="n">
        <f aca="false">M22*$K$63</f>
        <v>0.5</v>
      </c>
      <c r="N63" s="326" t="n">
        <f aca="false">N22*$K$63</f>
        <v>0.5</v>
      </c>
      <c r="O63" s="326" t="n">
        <f aca="false">O22*$K$63</f>
        <v>0.5</v>
      </c>
      <c r="P63" s="326" t="n">
        <f aca="false">P22*$K$63</f>
        <v>0.5</v>
      </c>
      <c r="Q63" s="318" t="n">
        <f aca="false">SUM(M63:P63)</f>
        <v>2</v>
      </c>
      <c r="R63" s="154"/>
    </row>
    <row r="64" customFormat="false" ht="29.25" hidden="false" customHeight="true" outlineLevel="0" collapsed="false">
      <c r="A64" s="154"/>
      <c r="B64" s="196"/>
      <c r="C64" s="196"/>
      <c r="D64" s="196"/>
      <c r="E64" s="196"/>
      <c r="F64" s="196"/>
      <c r="G64" s="196"/>
      <c r="H64" s="196"/>
      <c r="I64" s="196"/>
      <c r="J64" s="196"/>
      <c r="K64" s="325" t="n">
        <f aca="false">IF(K51=R51,K51,R51)</f>
        <v>0.5</v>
      </c>
      <c r="L64" s="325"/>
      <c r="M64" s="326" t="n">
        <f aca="false">M28*$K$64</f>
        <v>0.5</v>
      </c>
      <c r="N64" s="326" t="n">
        <f aca="false">N28*$K$64</f>
        <v>0.5</v>
      </c>
      <c r="O64" s="326" t="n">
        <f aca="false">O28*$K$64</f>
        <v>0.5</v>
      </c>
      <c r="P64" s="326" t="n">
        <f aca="false">P28*$K$64</f>
        <v>0.5</v>
      </c>
      <c r="Q64" s="318" t="n">
        <f aca="false">SUM(M64:P64)</f>
        <v>2</v>
      </c>
      <c r="R64" s="154"/>
    </row>
    <row r="65" customFormat="false" ht="24" hidden="false" customHeight="true" outlineLevel="0" collapsed="false">
      <c r="A65" s="154"/>
      <c r="B65" s="196"/>
      <c r="C65" s="196"/>
      <c r="D65" s="196"/>
      <c r="E65" s="196"/>
      <c r="F65" s="196"/>
      <c r="G65" s="196"/>
      <c r="H65" s="196"/>
      <c r="I65" s="196"/>
      <c r="J65" s="196"/>
      <c r="K65" s="325" t="n">
        <f aca="false">IF(K52=R52,K52,R52)</f>
        <v>1</v>
      </c>
      <c r="L65" s="312"/>
      <c r="M65" s="326" t="n">
        <f aca="false">M35*K65</f>
        <v>1</v>
      </c>
      <c r="N65" s="326" t="n">
        <f aca="false">N35*K65</f>
        <v>1</v>
      </c>
      <c r="O65" s="326" t="n">
        <f aca="false">O35*K65</f>
        <v>1</v>
      </c>
      <c r="P65" s="326" t="n">
        <f aca="false">P35*K65</f>
        <v>1</v>
      </c>
      <c r="Q65" s="318" t="n">
        <f aca="false">SUM(M65:P65)</f>
        <v>4</v>
      </c>
      <c r="R65" s="154"/>
    </row>
    <row r="66" customFormat="false" ht="24" hidden="false" customHeight="true" outlineLevel="0" collapsed="false">
      <c r="A66" s="154"/>
      <c r="B66" s="196"/>
      <c r="C66" s="196"/>
      <c r="D66" s="196"/>
      <c r="E66" s="196"/>
      <c r="F66" s="196"/>
      <c r="G66" s="196"/>
      <c r="H66" s="196"/>
      <c r="I66" s="196"/>
      <c r="J66" s="196"/>
      <c r="K66" s="325" t="n">
        <f aca="false">IF(K53=R53,K53,R53)</f>
        <v>1</v>
      </c>
      <c r="L66" s="312"/>
      <c r="M66" s="326" t="n">
        <f aca="false">M41*K66</f>
        <v>1</v>
      </c>
      <c r="N66" s="326" t="n">
        <f aca="false">N41*K66</f>
        <v>1</v>
      </c>
      <c r="O66" s="326" t="n">
        <f aca="false">O41*K66</f>
        <v>1</v>
      </c>
      <c r="P66" s="326" t="n">
        <f aca="false">P41*K66</f>
        <v>1</v>
      </c>
      <c r="Q66" s="318" t="n">
        <f aca="false">SUM(M66:P66)</f>
        <v>4</v>
      </c>
      <c r="R66" s="154"/>
    </row>
    <row r="67" customFormat="false" ht="24" hidden="false" customHeight="true" outlineLevel="0" collapsed="false">
      <c r="A67" s="154"/>
      <c r="B67" s="320"/>
      <c r="C67" s="320"/>
      <c r="D67" s="320"/>
      <c r="E67" s="320"/>
      <c r="F67" s="320"/>
      <c r="G67" s="320"/>
      <c r="H67" s="320"/>
      <c r="I67" s="320"/>
      <c r="J67" s="320"/>
      <c r="K67" s="320"/>
      <c r="L67" s="320"/>
      <c r="M67" s="321" t="n">
        <f aca="false">SUM(M62:M66)</f>
        <v>4.5</v>
      </c>
      <c r="N67" s="321" t="n">
        <f aca="false">SUM(N62:N66)</f>
        <v>4.5</v>
      </c>
      <c r="O67" s="321" t="n">
        <f aca="false">SUM(O62:O66)</f>
        <v>4.5</v>
      </c>
      <c r="P67" s="321" t="n">
        <f aca="false">SUM(P62:P66)</f>
        <v>4.5</v>
      </c>
      <c r="Q67" s="322" t="n">
        <f aca="false">SUM(Q62:Q66)</f>
        <v>18</v>
      </c>
      <c r="R67" s="154"/>
    </row>
    <row r="68" customFormat="false" ht="24" hidden="false" customHeight="true" outlineLevel="0" collapsed="false">
      <c r="A68" s="154"/>
      <c r="B68" s="154"/>
      <c r="C68" s="154"/>
      <c r="D68" s="154"/>
      <c r="E68" s="154"/>
      <c r="F68" s="154"/>
      <c r="G68" s="154"/>
      <c r="H68" s="154"/>
      <c r="I68" s="154"/>
      <c r="J68" s="154"/>
      <c r="K68" s="154"/>
      <c r="L68" s="154"/>
      <c r="M68" s="155"/>
      <c r="N68" s="155"/>
      <c r="O68" s="155"/>
      <c r="P68" s="155"/>
      <c r="Q68" s="154"/>
      <c r="R68" s="154"/>
    </row>
    <row r="69" customFormat="false" ht="36" hidden="false" customHeight="true" outlineLevel="0" collapsed="false">
      <c r="A69" s="154"/>
      <c r="B69" s="154"/>
      <c r="C69" s="154"/>
      <c r="D69" s="154"/>
      <c r="E69" s="154"/>
      <c r="F69" s="154"/>
      <c r="G69" s="154"/>
      <c r="H69" s="154"/>
      <c r="I69" s="154"/>
      <c r="J69" s="154"/>
      <c r="K69" s="154"/>
      <c r="L69" s="154"/>
      <c r="M69" s="155"/>
      <c r="N69" s="155"/>
      <c r="O69" s="155"/>
      <c r="P69" s="155"/>
      <c r="Q69" s="154"/>
      <c r="R69" s="154"/>
    </row>
    <row r="70" customFormat="false" ht="24" hidden="false" customHeight="true" outlineLevel="0" collapsed="false">
      <c r="A70" s="154"/>
      <c r="B70" s="154" t="s">
        <v>163</v>
      </c>
      <c r="C70" s="154"/>
      <c r="D70" s="154"/>
      <c r="E70" s="154"/>
      <c r="F70" s="154"/>
      <c r="G70" s="154"/>
      <c r="H70" s="154"/>
      <c r="I70" s="154"/>
      <c r="J70" s="154"/>
      <c r="K70" s="154"/>
      <c r="L70" s="154"/>
      <c r="M70" s="155"/>
      <c r="N70" s="155"/>
      <c r="O70" s="155"/>
      <c r="P70" s="155"/>
      <c r="Q70" s="154"/>
      <c r="R70" s="154"/>
    </row>
    <row r="71" customFormat="false" ht="12" hidden="false" customHeight="true" outlineLevel="0" collapsed="false">
      <c r="A71" s="154"/>
      <c r="B71" s="154"/>
      <c r="C71" s="154"/>
      <c r="D71" s="154"/>
      <c r="E71" s="154"/>
      <c r="F71" s="154"/>
      <c r="G71" s="154"/>
      <c r="H71" s="154"/>
      <c r="I71" s="154"/>
      <c r="J71" s="154"/>
      <c r="K71" s="154"/>
      <c r="L71" s="154"/>
      <c r="M71" s="155"/>
      <c r="N71" s="155"/>
      <c r="O71" s="155"/>
      <c r="P71" s="155"/>
      <c r="Q71" s="154"/>
      <c r="R71" s="154"/>
    </row>
    <row r="72" customFormat="false" ht="12" hidden="false" customHeight="true" outlineLevel="0" collapsed="false">
      <c r="A72" s="154"/>
      <c r="B72" s="154"/>
      <c r="C72" s="154"/>
      <c r="D72" s="154"/>
      <c r="E72" s="154"/>
      <c r="F72" s="154"/>
      <c r="G72" s="154"/>
      <c r="H72" s="154"/>
      <c r="I72" s="154"/>
      <c r="J72" s="154"/>
      <c r="K72" s="154"/>
      <c r="L72" s="154"/>
      <c r="M72" s="155"/>
      <c r="N72" s="155"/>
      <c r="O72" s="155"/>
      <c r="P72" s="155"/>
      <c r="Q72" s="154"/>
      <c r="R72" s="154"/>
    </row>
    <row r="73" customFormat="false" ht="12" hidden="false" customHeight="true" outlineLevel="0" collapsed="false">
      <c r="A73" s="154"/>
      <c r="B73" s="154"/>
      <c r="C73" s="154"/>
      <c r="D73" s="154"/>
      <c r="E73" s="154"/>
      <c r="F73" s="154"/>
      <c r="G73" s="154"/>
      <c r="H73" s="154"/>
      <c r="I73" s="154"/>
      <c r="J73" s="154"/>
      <c r="K73" s="154"/>
      <c r="L73" s="154"/>
      <c r="M73" s="155"/>
      <c r="N73" s="155"/>
      <c r="O73" s="155"/>
      <c r="P73" s="155"/>
      <c r="Q73" s="154"/>
      <c r="R73" s="154"/>
    </row>
    <row r="74" customFormat="false" ht="12" hidden="false" customHeight="true" outlineLevel="0" collapsed="false">
      <c r="A74" s="154"/>
    </row>
    <row r="75" customFormat="false" ht="12" hidden="false" customHeight="true" outlineLevel="0" collapsed="false">
      <c r="A75" s="154"/>
    </row>
    <row r="76" customFormat="false" ht="12" hidden="false" customHeight="true" outlineLevel="0" collapsed="false">
      <c r="A76" s="154"/>
    </row>
    <row r="119" customFormat="false" ht="12" hidden="false" customHeight="true" outlineLevel="0" collapsed="false">
      <c r="A119" s="154"/>
      <c r="B119" s="154"/>
      <c r="C119" s="154"/>
      <c r="D119" s="154"/>
      <c r="E119" s="154"/>
      <c r="F119" s="154"/>
      <c r="G119" s="154"/>
      <c r="H119" s="154"/>
      <c r="I119" s="154"/>
      <c r="J119" s="154"/>
      <c r="K119" s="154"/>
      <c r="L119" s="154"/>
      <c r="M119" s="155"/>
      <c r="N119" s="155"/>
      <c r="O119" s="155"/>
      <c r="P119" s="155"/>
      <c r="Q119" s="154"/>
      <c r="R119" s="154"/>
    </row>
    <row r="120" customFormat="false" ht="12" hidden="false" customHeight="true" outlineLevel="0" collapsed="false">
      <c r="A120" s="154"/>
      <c r="B120" s="154"/>
      <c r="C120" s="154"/>
      <c r="D120" s="154"/>
      <c r="E120" s="154"/>
      <c r="F120" s="154"/>
      <c r="G120" s="154"/>
      <c r="H120" s="154"/>
      <c r="I120" s="154"/>
      <c r="J120" s="154"/>
      <c r="K120" s="154"/>
      <c r="L120" s="154"/>
      <c r="M120" s="155"/>
      <c r="N120" s="155"/>
      <c r="O120" s="155"/>
      <c r="P120" s="155"/>
      <c r="Q120" s="154"/>
      <c r="R120" s="154"/>
    </row>
    <row r="121" customFormat="false" ht="12" hidden="false" customHeight="true" outlineLevel="0" collapsed="false">
      <c r="A121" s="154"/>
      <c r="B121" s="154"/>
      <c r="C121" s="154"/>
      <c r="D121" s="154"/>
      <c r="E121" s="154"/>
      <c r="F121" s="154"/>
      <c r="G121" s="154"/>
      <c r="H121" s="154"/>
      <c r="I121" s="154"/>
      <c r="J121" s="154"/>
      <c r="K121" s="154"/>
      <c r="L121" s="154"/>
      <c r="M121" s="155"/>
      <c r="N121" s="155"/>
      <c r="O121" s="155"/>
      <c r="P121" s="155"/>
      <c r="Q121" s="154"/>
      <c r="R121" s="154"/>
    </row>
    <row r="122" customFormat="false" ht="12" hidden="false" customHeight="true" outlineLevel="0" collapsed="false">
      <c r="A122" s="154"/>
      <c r="B122" s="154"/>
      <c r="C122" s="154"/>
      <c r="D122" s="154"/>
      <c r="E122" s="154"/>
      <c r="F122" s="154"/>
      <c r="G122" s="154"/>
      <c r="H122" s="154"/>
      <c r="I122" s="154"/>
      <c r="J122" s="154"/>
      <c r="K122" s="154"/>
      <c r="L122" s="154"/>
      <c r="M122" s="155"/>
      <c r="N122" s="155"/>
      <c r="O122" s="155"/>
      <c r="P122" s="155"/>
      <c r="Q122" s="154"/>
      <c r="R122" s="154"/>
    </row>
    <row r="123" customFormat="false" ht="12" hidden="false" customHeight="true" outlineLevel="0" collapsed="false">
      <c r="A123" s="154"/>
      <c r="B123" s="154"/>
      <c r="C123" s="154"/>
      <c r="D123" s="154"/>
      <c r="E123" s="154"/>
      <c r="F123" s="154"/>
      <c r="G123" s="154"/>
      <c r="H123" s="154"/>
      <c r="I123" s="154"/>
      <c r="J123" s="154"/>
      <c r="K123" s="154"/>
      <c r="L123" s="154"/>
      <c r="M123" s="155"/>
      <c r="N123" s="155"/>
      <c r="O123" s="155"/>
      <c r="P123" s="155"/>
      <c r="Q123" s="154"/>
      <c r="R123" s="154"/>
    </row>
    <row r="124" customFormat="false" ht="12" hidden="false" customHeight="true" outlineLevel="0" collapsed="false">
      <c r="A124" s="154"/>
      <c r="B124" s="154"/>
      <c r="C124" s="154"/>
      <c r="D124" s="154"/>
      <c r="E124" s="154"/>
      <c r="F124" s="154"/>
      <c r="G124" s="154"/>
      <c r="H124" s="154"/>
      <c r="I124" s="154"/>
      <c r="J124" s="154"/>
      <c r="K124" s="154"/>
      <c r="L124" s="154"/>
      <c r="M124" s="155"/>
      <c r="N124" s="155"/>
      <c r="O124" s="155"/>
      <c r="P124" s="155"/>
      <c r="Q124" s="154"/>
      <c r="R124" s="154"/>
    </row>
    <row r="125" customFormat="false" ht="12" hidden="false" customHeight="true" outlineLevel="0" collapsed="false">
      <c r="A125" s="154"/>
      <c r="B125" s="154"/>
      <c r="C125" s="154"/>
      <c r="D125" s="154"/>
      <c r="E125" s="154"/>
      <c r="F125" s="154"/>
      <c r="G125" s="154"/>
      <c r="H125" s="154"/>
      <c r="I125" s="154"/>
      <c r="J125" s="154"/>
      <c r="K125" s="154"/>
      <c r="L125" s="154"/>
      <c r="M125" s="155"/>
      <c r="N125" s="155"/>
      <c r="O125" s="155"/>
      <c r="P125" s="155"/>
      <c r="Q125" s="154"/>
      <c r="R125" s="154"/>
    </row>
    <row r="126" customFormat="false" ht="12" hidden="false" customHeight="true" outlineLevel="0" collapsed="false">
      <c r="A126" s="154"/>
      <c r="B126" s="154"/>
      <c r="C126" s="154"/>
      <c r="D126" s="154"/>
      <c r="E126" s="154"/>
      <c r="F126" s="154"/>
      <c r="G126" s="154"/>
      <c r="H126" s="154"/>
      <c r="I126" s="154"/>
      <c r="J126" s="154"/>
      <c r="K126" s="154"/>
      <c r="L126" s="154"/>
      <c r="M126" s="155"/>
      <c r="N126" s="155"/>
      <c r="O126" s="155"/>
      <c r="P126" s="155"/>
      <c r="Q126" s="154"/>
      <c r="R126" s="154"/>
    </row>
    <row r="127" customFormat="false" ht="12" hidden="false" customHeight="true" outlineLevel="0" collapsed="false">
      <c r="A127" s="154"/>
      <c r="B127" s="154"/>
      <c r="C127" s="154"/>
      <c r="D127" s="154"/>
      <c r="E127" s="154"/>
      <c r="F127" s="154"/>
      <c r="G127" s="154"/>
      <c r="H127" s="154"/>
      <c r="I127" s="154"/>
      <c r="J127" s="154"/>
      <c r="K127" s="154"/>
      <c r="L127" s="154"/>
      <c r="M127" s="155"/>
      <c r="N127" s="155"/>
      <c r="O127" s="155"/>
      <c r="P127" s="155"/>
      <c r="Q127" s="154"/>
      <c r="R127" s="154"/>
    </row>
    <row r="128" customFormat="false" ht="12" hidden="false" customHeight="true" outlineLevel="0" collapsed="false">
      <c r="A128" s="154"/>
      <c r="B128" s="154"/>
      <c r="C128" s="154"/>
      <c r="D128" s="154"/>
      <c r="E128" s="154"/>
      <c r="F128" s="154"/>
      <c r="G128" s="154"/>
      <c r="H128" s="154"/>
      <c r="I128" s="154"/>
      <c r="J128" s="154"/>
      <c r="K128" s="154"/>
      <c r="L128" s="154"/>
      <c r="M128" s="155"/>
      <c r="N128" s="155"/>
      <c r="O128" s="155"/>
      <c r="P128" s="155"/>
      <c r="Q128" s="154"/>
      <c r="R128" s="154"/>
    </row>
    <row r="129" customFormat="false" ht="12" hidden="false" customHeight="true" outlineLevel="0" collapsed="false">
      <c r="A129" s="154"/>
      <c r="B129" s="154"/>
      <c r="C129" s="154"/>
      <c r="D129" s="154"/>
      <c r="E129" s="154"/>
      <c r="F129" s="154"/>
      <c r="G129" s="154"/>
      <c r="H129" s="154"/>
      <c r="I129" s="154"/>
      <c r="J129" s="154"/>
      <c r="K129" s="154"/>
      <c r="L129" s="154"/>
      <c r="M129" s="155"/>
      <c r="N129" s="155"/>
      <c r="O129" s="155"/>
      <c r="P129" s="155"/>
      <c r="Q129" s="154"/>
      <c r="R129" s="154"/>
    </row>
    <row r="130" customFormat="false" ht="12" hidden="false" customHeight="true" outlineLevel="0" collapsed="false">
      <c r="A130" s="154"/>
      <c r="B130" s="154"/>
      <c r="C130" s="154"/>
      <c r="D130" s="154"/>
      <c r="E130" s="154"/>
      <c r="F130" s="154"/>
      <c r="G130" s="154"/>
      <c r="H130" s="154"/>
      <c r="I130" s="154"/>
      <c r="J130" s="154"/>
      <c r="K130" s="154"/>
      <c r="L130" s="154"/>
      <c r="M130" s="155"/>
      <c r="N130" s="155"/>
      <c r="O130" s="155"/>
      <c r="P130" s="155"/>
      <c r="Q130" s="154"/>
      <c r="R130" s="154"/>
    </row>
    <row r="131" customFormat="false" ht="12" hidden="false" customHeight="true" outlineLevel="0" collapsed="false">
      <c r="A131" s="154"/>
      <c r="B131" s="154"/>
      <c r="C131" s="154"/>
      <c r="D131" s="154"/>
      <c r="E131" s="154"/>
      <c r="F131" s="154"/>
      <c r="G131" s="154"/>
      <c r="H131" s="154"/>
      <c r="I131" s="154"/>
      <c r="J131" s="154"/>
      <c r="K131" s="154"/>
      <c r="L131" s="154"/>
      <c r="M131" s="155"/>
      <c r="N131" s="155"/>
      <c r="O131" s="155"/>
      <c r="P131" s="155"/>
      <c r="Q131" s="154"/>
      <c r="R131" s="154"/>
    </row>
    <row r="132" customFormat="false" ht="12" hidden="false" customHeight="true" outlineLevel="0" collapsed="false">
      <c r="A132" s="154"/>
      <c r="B132" s="154"/>
      <c r="C132" s="154"/>
      <c r="D132" s="154"/>
      <c r="E132" s="154"/>
      <c r="F132" s="154"/>
      <c r="G132" s="154"/>
      <c r="H132" s="154"/>
      <c r="I132" s="154"/>
      <c r="J132" s="154"/>
      <c r="K132" s="154"/>
      <c r="L132" s="154"/>
      <c r="M132" s="155"/>
      <c r="N132" s="155"/>
      <c r="O132" s="155"/>
      <c r="P132" s="155"/>
      <c r="Q132" s="154"/>
      <c r="R132" s="154"/>
    </row>
    <row r="133" customFormat="false" ht="12" hidden="false" customHeight="true" outlineLevel="0" collapsed="false">
      <c r="A133" s="154"/>
      <c r="B133" s="154"/>
      <c r="C133" s="154"/>
      <c r="D133" s="154"/>
      <c r="E133" s="154"/>
      <c r="F133" s="154"/>
      <c r="G133" s="154"/>
      <c r="H133" s="154"/>
      <c r="I133" s="154"/>
      <c r="J133" s="154"/>
      <c r="K133" s="154"/>
      <c r="L133" s="154"/>
      <c r="M133" s="155"/>
      <c r="N133" s="155"/>
      <c r="O133" s="155"/>
      <c r="P133" s="155"/>
      <c r="Q133" s="154"/>
      <c r="R133" s="154"/>
    </row>
    <row r="134" customFormat="false" ht="12" hidden="false" customHeight="true" outlineLevel="0" collapsed="false">
      <c r="A134" s="154"/>
      <c r="B134" s="154"/>
      <c r="C134" s="154"/>
      <c r="D134" s="154"/>
      <c r="E134" s="154"/>
      <c r="F134" s="154"/>
      <c r="G134" s="154"/>
      <c r="H134" s="154"/>
      <c r="I134" s="154"/>
      <c r="J134" s="154"/>
      <c r="K134" s="154"/>
      <c r="L134" s="154"/>
      <c r="M134" s="155"/>
      <c r="N134" s="155"/>
      <c r="O134" s="155"/>
      <c r="P134" s="155"/>
      <c r="Q134" s="154"/>
      <c r="R134" s="154"/>
    </row>
    <row r="135" customFormat="false" ht="12" hidden="false" customHeight="true" outlineLevel="0" collapsed="false">
      <c r="A135" s="154"/>
      <c r="B135" s="154"/>
      <c r="C135" s="154"/>
      <c r="D135" s="154"/>
      <c r="E135" s="154"/>
      <c r="F135" s="154"/>
      <c r="G135" s="154"/>
      <c r="H135" s="154"/>
      <c r="I135" s="154"/>
      <c r="J135" s="154"/>
      <c r="K135" s="154"/>
      <c r="L135" s="154"/>
      <c r="M135" s="155"/>
      <c r="N135" s="155"/>
      <c r="O135" s="155"/>
      <c r="P135" s="155"/>
      <c r="Q135" s="154"/>
      <c r="R135" s="154"/>
    </row>
    <row r="136" customFormat="false" ht="12" hidden="false" customHeight="true" outlineLevel="0" collapsed="false">
      <c r="A136" s="327"/>
      <c r="B136" s="154"/>
      <c r="C136" s="154"/>
      <c r="D136" s="154"/>
      <c r="E136" s="154"/>
      <c r="F136" s="154"/>
      <c r="G136" s="154"/>
      <c r="H136" s="154"/>
      <c r="I136" s="154"/>
      <c r="J136" s="154"/>
      <c r="K136" s="154"/>
      <c r="L136" s="154"/>
      <c r="M136" s="155"/>
      <c r="N136" s="155"/>
      <c r="O136" s="155"/>
      <c r="P136" s="155"/>
      <c r="Q136" s="154"/>
      <c r="R136" s="154"/>
    </row>
    <row r="137" customFormat="false" ht="12" hidden="false" customHeight="true" outlineLevel="0" collapsed="false">
      <c r="A137" s="327"/>
      <c r="B137" s="154"/>
      <c r="C137" s="154"/>
      <c r="D137" s="154"/>
      <c r="E137" s="154"/>
      <c r="F137" s="154"/>
      <c r="G137" s="154"/>
      <c r="H137" s="154"/>
      <c r="I137" s="154"/>
      <c r="J137" s="154"/>
      <c r="K137" s="154"/>
      <c r="L137" s="154"/>
      <c r="M137" s="155"/>
      <c r="N137" s="155"/>
      <c r="O137" s="155"/>
      <c r="P137" s="155"/>
      <c r="Q137" s="154"/>
      <c r="R137" s="154"/>
    </row>
    <row r="138" customFormat="false" ht="12" hidden="false" customHeight="true" outlineLevel="0" collapsed="false">
      <c r="A138" s="327"/>
      <c r="B138" s="154"/>
      <c r="C138" s="154"/>
      <c r="D138" s="154"/>
      <c r="E138" s="154"/>
      <c r="F138" s="154"/>
      <c r="G138" s="154"/>
      <c r="H138" s="154"/>
      <c r="I138" s="154"/>
      <c r="J138" s="154"/>
      <c r="K138" s="154"/>
      <c r="L138" s="154"/>
      <c r="M138" s="155"/>
      <c r="N138" s="155"/>
      <c r="O138" s="155"/>
      <c r="P138" s="155"/>
      <c r="Q138" s="154"/>
      <c r="R138" s="154"/>
    </row>
    <row r="139" customFormat="false" ht="12" hidden="false" customHeight="true" outlineLevel="0" collapsed="false">
      <c r="A139" s="154"/>
      <c r="B139" s="154"/>
      <c r="C139" s="154"/>
      <c r="D139" s="154"/>
      <c r="E139" s="154"/>
      <c r="F139" s="154"/>
      <c r="G139" s="154"/>
      <c r="H139" s="154"/>
      <c r="I139" s="154"/>
      <c r="J139" s="154"/>
      <c r="K139" s="154"/>
      <c r="L139" s="154"/>
      <c r="M139" s="155"/>
      <c r="N139" s="155"/>
      <c r="O139" s="155"/>
      <c r="P139" s="155"/>
      <c r="Q139" s="154"/>
      <c r="R139" s="154"/>
    </row>
    <row r="140" customFormat="false" ht="12" hidden="false" customHeight="true" outlineLevel="0" collapsed="false">
      <c r="A140" s="154"/>
      <c r="B140" s="154"/>
      <c r="C140" s="154"/>
      <c r="D140" s="154"/>
      <c r="E140" s="154"/>
      <c r="F140" s="154"/>
      <c r="G140" s="154"/>
      <c r="H140" s="154"/>
      <c r="I140" s="154"/>
      <c r="J140" s="154"/>
      <c r="K140" s="154"/>
      <c r="L140" s="154"/>
      <c r="M140" s="155"/>
      <c r="N140" s="155"/>
      <c r="O140" s="155"/>
      <c r="P140" s="155"/>
      <c r="Q140" s="154"/>
      <c r="R140" s="154"/>
    </row>
    <row r="141" customFormat="false" ht="12" hidden="false" customHeight="true" outlineLevel="0" collapsed="false">
      <c r="A141" s="154"/>
      <c r="B141" s="154"/>
      <c r="C141" s="154"/>
      <c r="D141" s="154"/>
      <c r="E141" s="154"/>
      <c r="F141" s="154"/>
      <c r="G141" s="154"/>
      <c r="H141" s="154"/>
      <c r="I141" s="154"/>
      <c r="J141" s="154"/>
      <c r="K141" s="154"/>
      <c r="L141" s="154"/>
      <c r="M141" s="155"/>
      <c r="N141" s="155"/>
      <c r="O141" s="155"/>
      <c r="P141" s="155"/>
      <c r="Q141" s="154"/>
      <c r="R141" s="154"/>
    </row>
    <row r="142" customFormat="false" ht="12" hidden="false" customHeight="true" outlineLevel="0" collapsed="false">
      <c r="A142" s="154"/>
      <c r="B142" s="154"/>
      <c r="C142" s="154"/>
      <c r="D142" s="154"/>
      <c r="E142" s="154"/>
      <c r="F142" s="154"/>
      <c r="G142" s="154"/>
      <c r="H142" s="154"/>
      <c r="I142" s="154"/>
      <c r="J142" s="154"/>
      <c r="K142" s="154"/>
      <c r="L142" s="154"/>
      <c r="M142" s="155"/>
      <c r="N142" s="155"/>
      <c r="O142" s="155"/>
      <c r="P142" s="155"/>
      <c r="Q142" s="154"/>
      <c r="R142" s="154"/>
    </row>
    <row r="143" customFormat="false" ht="12" hidden="false" customHeight="true" outlineLevel="0" collapsed="false">
      <c r="A143" s="154"/>
      <c r="B143" s="154"/>
      <c r="C143" s="154"/>
      <c r="D143" s="154"/>
      <c r="E143" s="154"/>
      <c r="F143" s="154"/>
      <c r="G143" s="154"/>
      <c r="H143" s="154"/>
      <c r="I143" s="154"/>
      <c r="J143" s="154"/>
      <c r="K143" s="154"/>
      <c r="L143" s="154"/>
      <c r="M143" s="155"/>
      <c r="N143" s="155"/>
      <c r="O143" s="155"/>
      <c r="P143" s="155"/>
      <c r="Q143" s="154"/>
      <c r="R143" s="154"/>
    </row>
    <row r="144" customFormat="false" ht="12" hidden="false" customHeight="true" outlineLevel="0" collapsed="false">
      <c r="A144" s="154"/>
      <c r="B144" s="154"/>
      <c r="C144" s="154"/>
      <c r="D144" s="154"/>
      <c r="E144" s="154"/>
      <c r="F144" s="154"/>
      <c r="G144" s="154"/>
      <c r="H144" s="154"/>
      <c r="I144" s="154"/>
      <c r="J144" s="154"/>
      <c r="K144" s="154"/>
      <c r="L144" s="154"/>
      <c r="M144" s="155"/>
      <c r="N144" s="155"/>
      <c r="O144" s="155"/>
      <c r="P144" s="155"/>
      <c r="Q144" s="154"/>
      <c r="R144" s="154"/>
    </row>
    <row r="145" customFormat="false" ht="12" hidden="false" customHeight="true" outlineLevel="0" collapsed="false">
      <c r="A145" s="154"/>
      <c r="B145" s="154"/>
      <c r="C145" s="154"/>
      <c r="D145" s="154"/>
      <c r="E145" s="154"/>
      <c r="F145" s="154"/>
      <c r="G145" s="154"/>
      <c r="H145" s="154"/>
      <c r="I145" s="154"/>
      <c r="J145" s="154"/>
      <c r="K145" s="154"/>
      <c r="L145" s="154"/>
      <c r="M145" s="155"/>
      <c r="N145" s="155"/>
      <c r="O145" s="155"/>
      <c r="P145" s="155"/>
      <c r="Q145" s="154"/>
      <c r="R145" s="154"/>
    </row>
    <row r="146" customFormat="false" ht="12" hidden="false" customHeight="true" outlineLevel="0" collapsed="false">
      <c r="A146" s="154"/>
      <c r="B146" s="154"/>
      <c r="C146" s="154"/>
      <c r="D146" s="154"/>
      <c r="E146" s="154"/>
      <c r="F146" s="154"/>
      <c r="G146" s="154"/>
      <c r="H146" s="154"/>
      <c r="I146" s="154"/>
      <c r="J146" s="154"/>
      <c r="K146" s="154"/>
      <c r="L146" s="154"/>
      <c r="M146" s="155"/>
      <c r="N146" s="155"/>
      <c r="O146" s="155"/>
      <c r="P146" s="155"/>
      <c r="Q146" s="154"/>
      <c r="R146" s="154"/>
    </row>
    <row r="147" customFormat="false" ht="12" hidden="false" customHeight="true" outlineLevel="0" collapsed="false">
      <c r="A147" s="154"/>
      <c r="B147" s="154"/>
      <c r="C147" s="154"/>
      <c r="D147" s="154"/>
      <c r="E147" s="154"/>
      <c r="F147" s="154"/>
      <c r="G147" s="154"/>
      <c r="H147" s="154"/>
      <c r="I147" s="154"/>
      <c r="J147" s="154"/>
      <c r="K147" s="154"/>
      <c r="L147" s="154"/>
      <c r="M147" s="155"/>
      <c r="N147" s="155"/>
      <c r="O147" s="155"/>
      <c r="P147" s="155"/>
      <c r="Q147" s="154"/>
      <c r="R147" s="154"/>
    </row>
    <row r="148" customFormat="false" ht="12" hidden="false" customHeight="true" outlineLevel="0" collapsed="false">
      <c r="A148" s="154"/>
      <c r="B148" s="154"/>
      <c r="C148" s="154"/>
      <c r="D148" s="154"/>
      <c r="E148" s="154"/>
      <c r="F148" s="154"/>
      <c r="G148" s="154"/>
      <c r="H148" s="154"/>
      <c r="I148" s="154"/>
      <c r="J148" s="154"/>
      <c r="K148" s="154"/>
      <c r="L148" s="154"/>
      <c r="M148" s="155"/>
      <c r="N148" s="155"/>
      <c r="O148" s="155"/>
      <c r="P148" s="155"/>
      <c r="Q148" s="154"/>
      <c r="R148" s="154"/>
    </row>
    <row r="149" customFormat="false" ht="12" hidden="false" customHeight="true" outlineLevel="0" collapsed="false">
      <c r="A149" s="154"/>
      <c r="B149" s="154"/>
      <c r="C149" s="154"/>
      <c r="D149" s="154"/>
      <c r="E149" s="154"/>
      <c r="F149" s="154"/>
      <c r="G149" s="154"/>
      <c r="H149" s="154"/>
      <c r="I149" s="154"/>
      <c r="J149" s="154"/>
      <c r="K149" s="154"/>
      <c r="L149" s="154"/>
      <c r="M149" s="155"/>
      <c r="N149" s="155"/>
      <c r="O149" s="155"/>
      <c r="P149" s="155"/>
      <c r="Q149" s="154"/>
      <c r="R149" s="154"/>
    </row>
    <row r="150" customFormat="false" ht="12" hidden="false" customHeight="true" outlineLevel="0" collapsed="false">
      <c r="A150" s="154"/>
      <c r="B150" s="154"/>
      <c r="C150" s="154"/>
      <c r="D150" s="154"/>
      <c r="E150" s="154"/>
      <c r="F150" s="154"/>
      <c r="G150" s="154"/>
      <c r="H150" s="154"/>
      <c r="I150" s="154"/>
      <c r="J150" s="154"/>
      <c r="K150" s="154"/>
      <c r="L150" s="154"/>
      <c r="M150" s="155"/>
      <c r="N150" s="155"/>
      <c r="O150" s="155"/>
      <c r="P150" s="155"/>
      <c r="Q150" s="154"/>
      <c r="R150" s="154"/>
    </row>
    <row r="151" customFormat="false" ht="12" hidden="false" customHeight="true" outlineLevel="0" collapsed="false">
      <c r="A151" s="154"/>
      <c r="B151" s="154"/>
      <c r="C151" s="154"/>
      <c r="D151" s="154"/>
      <c r="E151" s="154"/>
      <c r="F151" s="154"/>
      <c r="G151" s="154"/>
      <c r="H151" s="154"/>
      <c r="I151" s="154"/>
      <c r="J151" s="154"/>
      <c r="K151" s="154"/>
      <c r="L151" s="154"/>
      <c r="M151" s="155"/>
      <c r="N151" s="155"/>
      <c r="O151" s="155"/>
      <c r="P151" s="155"/>
      <c r="Q151" s="154"/>
      <c r="R151" s="154"/>
    </row>
    <row r="152" customFormat="false" ht="12" hidden="false" customHeight="true" outlineLevel="0" collapsed="false">
      <c r="A152" s="154"/>
      <c r="B152" s="154"/>
      <c r="C152" s="154"/>
      <c r="D152" s="154"/>
      <c r="E152" s="154"/>
      <c r="F152" s="154"/>
      <c r="G152" s="154"/>
      <c r="H152" s="154"/>
      <c r="I152" s="154"/>
      <c r="J152" s="154"/>
      <c r="K152" s="154"/>
      <c r="L152" s="154"/>
      <c r="M152" s="155"/>
      <c r="N152" s="155"/>
      <c r="O152" s="155"/>
      <c r="P152" s="155"/>
      <c r="Q152" s="154"/>
      <c r="R152" s="154"/>
    </row>
    <row r="153" customFormat="false" ht="12" hidden="false" customHeight="true" outlineLevel="0" collapsed="false">
      <c r="A153" s="154"/>
      <c r="B153" s="154"/>
      <c r="C153" s="154"/>
      <c r="D153" s="154"/>
      <c r="E153" s="154"/>
      <c r="F153" s="154"/>
      <c r="G153" s="154"/>
      <c r="H153" s="154"/>
      <c r="I153" s="154"/>
      <c r="J153" s="154"/>
      <c r="K153" s="154"/>
      <c r="L153" s="154"/>
      <c r="M153" s="155"/>
      <c r="N153" s="155"/>
      <c r="O153" s="155"/>
      <c r="P153" s="155"/>
      <c r="Q153" s="154"/>
      <c r="R153" s="154"/>
    </row>
    <row r="154" customFormat="false" ht="12" hidden="false" customHeight="true" outlineLevel="0" collapsed="false">
      <c r="A154" s="154"/>
      <c r="B154" s="154"/>
      <c r="C154" s="154"/>
      <c r="D154" s="154"/>
      <c r="E154" s="154"/>
      <c r="F154" s="154"/>
      <c r="G154" s="154"/>
      <c r="H154" s="154"/>
      <c r="I154" s="154"/>
      <c r="J154" s="154"/>
      <c r="K154" s="154"/>
      <c r="L154" s="154"/>
      <c r="M154" s="155"/>
      <c r="N154" s="155"/>
      <c r="O154" s="155"/>
      <c r="P154" s="155"/>
      <c r="Q154" s="154"/>
      <c r="R154" s="154"/>
    </row>
    <row r="155" customFormat="false" ht="12" hidden="false" customHeight="true" outlineLevel="0" collapsed="false">
      <c r="A155" s="154"/>
      <c r="B155" s="154"/>
      <c r="C155" s="154"/>
      <c r="D155" s="154"/>
      <c r="E155" s="154"/>
      <c r="F155" s="154"/>
      <c r="G155" s="154"/>
      <c r="H155" s="154"/>
      <c r="I155" s="154"/>
      <c r="J155" s="154"/>
      <c r="K155" s="154"/>
      <c r="L155" s="154"/>
      <c r="M155" s="155"/>
      <c r="N155" s="155"/>
      <c r="O155" s="155"/>
      <c r="P155" s="155"/>
      <c r="Q155" s="154"/>
      <c r="R155" s="154"/>
    </row>
    <row r="156" customFormat="false" ht="12" hidden="false" customHeight="true" outlineLevel="0" collapsed="false">
      <c r="A156" s="154"/>
      <c r="B156" s="154"/>
      <c r="C156" s="154"/>
      <c r="D156" s="154"/>
      <c r="E156" s="154"/>
      <c r="F156" s="154"/>
      <c r="G156" s="154"/>
      <c r="H156" s="154"/>
      <c r="I156" s="154"/>
      <c r="J156" s="154"/>
      <c r="K156" s="154"/>
      <c r="L156" s="154"/>
      <c r="M156" s="155"/>
      <c r="N156" s="155"/>
      <c r="O156" s="155"/>
      <c r="P156" s="155"/>
      <c r="Q156" s="154"/>
      <c r="R156" s="154"/>
    </row>
    <row r="157" customFormat="false" ht="12" hidden="false" customHeight="true" outlineLevel="0" collapsed="false">
      <c r="A157" s="154"/>
      <c r="B157" s="154"/>
      <c r="C157" s="154"/>
      <c r="D157" s="154"/>
      <c r="E157" s="154"/>
      <c r="F157" s="154"/>
      <c r="G157" s="154"/>
      <c r="H157" s="154"/>
      <c r="I157" s="154"/>
      <c r="J157" s="154"/>
      <c r="K157" s="154"/>
      <c r="L157" s="154"/>
      <c r="M157" s="155"/>
      <c r="N157" s="155"/>
      <c r="O157" s="155"/>
      <c r="P157" s="155"/>
      <c r="Q157" s="154"/>
      <c r="R157" s="154"/>
    </row>
    <row r="158" customFormat="false" ht="12" hidden="false" customHeight="true" outlineLevel="0" collapsed="false">
      <c r="A158" s="154"/>
      <c r="B158" s="154"/>
      <c r="C158" s="154"/>
      <c r="D158" s="154"/>
      <c r="E158" s="154"/>
      <c r="F158" s="154"/>
      <c r="G158" s="154"/>
      <c r="H158" s="154"/>
      <c r="I158" s="154"/>
      <c r="J158" s="154"/>
      <c r="K158" s="154"/>
      <c r="L158" s="154"/>
      <c r="M158" s="155"/>
      <c r="N158" s="155"/>
      <c r="O158" s="155"/>
      <c r="P158" s="155"/>
      <c r="Q158" s="154"/>
      <c r="R158" s="154"/>
    </row>
    <row r="159" customFormat="false" ht="12" hidden="false" customHeight="true" outlineLevel="0" collapsed="false">
      <c r="A159" s="154"/>
      <c r="B159" s="154"/>
      <c r="C159" s="154"/>
      <c r="D159" s="154"/>
      <c r="E159" s="154"/>
      <c r="F159" s="154"/>
      <c r="G159" s="154"/>
      <c r="H159" s="154"/>
      <c r="I159" s="154"/>
      <c r="J159" s="154"/>
      <c r="K159" s="154"/>
      <c r="L159" s="154"/>
      <c r="M159" s="155"/>
      <c r="N159" s="155"/>
      <c r="O159" s="155"/>
      <c r="P159" s="155"/>
      <c r="Q159" s="154"/>
      <c r="R159" s="154"/>
    </row>
    <row r="160" customFormat="false" ht="12" hidden="false" customHeight="true" outlineLevel="0" collapsed="false">
      <c r="A160" s="154"/>
      <c r="B160" s="154"/>
      <c r="C160" s="154"/>
      <c r="D160" s="154"/>
      <c r="E160" s="154"/>
      <c r="F160" s="154"/>
      <c r="G160" s="154"/>
      <c r="H160" s="154"/>
      <c r="I160" s="154"/>
      <c r="J160" s="154"/>
      <c r="K160" s="154"/>
      <c r="L160" s="154"/>
      <c r="M160" s="155"/>
      <c r="N160" s="155"/>
      <c r="O160" s="155"/>
      <c r="P160" s="155"/>
      <c r="Q160" s="154"/>
      <c r="R160" s="154"/>
    </row>
    <row r="161" customFormat="false" ht="12" hidden="false" customHeight="true" outlineLevel="0" collapsed="false">
      <c r="A161" s="154"/>
      <c r="B161" s="154"/>
      <c r="C161" s="154"/>
      <c r="D161" s="154"/>
      <c r="E161" s="154"/>
      <c r="F161" s="154"/>
      <c r="G161" s="154"/>
      <c r="H161" s="154"/>
      <c r="I161" s="154"/>
      <c r="J161" s="154"/>
      <c r="K161" s="154"/>
      <c r="L161" s="154"/>
      <c r="M161" s="155"/>
      <c r="N161" s="155"/>
      <c r="O161" s="155"/>
      <c r="P161" s="155"/>
      <c r="Q161" s="154"/>
      <c r="R161" s="154"/>
    </row>
    <row r="162" customFormat="false" ht="12" hidden="false" customHeight="true" outlineLevel="0" collapsed="false">
      <c r="A162" s="154"/>
      <c r="B162" s="154"/>
      <c r="C162" s="154"/>
      <c r="D162" s="154"/>
      <c r="E162" s="154"/>
      <c r="F162" s="154"/>
      <c r="G162" s="154"/>
      <c r="H162" s="154"/>
      <c r="I162" s="154"/>
      <c r="J162" s="154"/>
      <c r="K162" s="154"/>
      <c r="L162" s="154"/>
      <c r="M162" s="155"/>
      <c r="N162" s="155"/>
      <c r="O162" s="155"/>
      <c r="P162" s="155"/>
      <c r="Q162" s="154"/>
      <c r="R162" s="154"/>
    </row>
    <row r="163" customFormat="false" ht="12" hidden="false" customHeight="true" outlineLevel="0" collapsed="false">
      <c r="A163" s="154"/>
      <c r="B163" s="154"/>
      <c r="C163" s="154"/>
      <c r="D163" s="154"/>
      <c r="E163" s="154"/>
      <c r="F163" s="154"/>
      <c r="G163" s="154"/>
      <c r="H163" s="154"/>
      <c r="I163" s="154"/>
      <c r="J163" s="154"/>
      <c r="K163" s="154"/>
      <c r="L163" s="154"/>
      <c r="M163" s="155"/>
      <c r="N163" s="155"/>
      <c r="O163" s="155"/>
      <c r="P163" s="155"/>
      <c r="Q163" s="154"/>
      <c r="R163" s="154"/>
    </row>
  </sheetData>
  <sheetProtection algorithmName="SHA-512" hashValue="jF+acagFv2/gfHU4mkfV5TOc6rDfOJkH8Rk8Wkq/Y8p081oD81cwEKCw+88HFRiAI1Xuslog7yc+l3oSCm32xA==" saltValue="ly9IWvYfQ5TfgSmn8iIpGg==" spinCount="100000" sheet="true"/>
  <mergeCells count="67">
    <mergeCell ref="E4:J6"/>
    <mergeCell ref="K4:L7"/>
    <mergeCell ref="M4:M8"/>
    <mergeCell ref="N4:N8"/>
    <mergeCell ref="O4:O8"/>
    <mergeCell ref="P4:P8"/>
    <mergeCell ref="F7:G7"/>
    <mergeCell ref="H7:I7"/>
    <mergeCell ref="F8:J8"/>
    <mergeCell ref="B10:B14"/>
    <mergeCell ref="F10:H10"/>
    <mergeCell ref="J10:J18"/>
    <mergeCell ref="K10:K18"/>
    <mergeCell ref="L10:L18"/>
    <mergeCell ref="M10:M11"/>
    <mergeCell ref="N10:N11"/>
    <mergeCell ref="O10:O11"/>
    <mergeCell ref="P10:P11"/>
    <mergeCell ref="F11:I11"/>
    <mergeCell ref="F19:H19"/>
    <mergeCell ref="J19:J24"/>
    <mergeCell ref="K19:K24"/>
    <mergeCell ref="L19:L24"/>
    <mergeCell ref="M19:M20"/>
    <mergeCell ref="N19:N20"/>
    <mergeCell ref="O19:O20"/>
    <mergeCell ref="P19:P20"/>
    <mergeCell ref="F20:H20"/>
    <mergeCell ref="F21:H21"/>
    <mergeCell ref="G22:H22"/>
    <mergeCell ref="G23:H23"/>
    <mergeCell ref="F25:H25"/>
    <mergeCell ref="J25:J31"/>
    <mergeCell ref="K25:K31"/>
    <mergeCell ref="L25:L31"/>
    <mergeCell ref="M25:M26"/>
    <mergeCell ref="N25:N26"/>
    <mergeCell ref="O25:O26"/>
    <mergeCell ref="P25:P26"/>
    <mergeCell ref="F26:H26"/>
    <mergeCell ref="F30:H30"/>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M45:M46"/>
    <mergeCell ref="N45:N46"/>
    <mergeCell ref="O45:O46"/>
    <mergeCell ref="P45:P46"/>
    <mergeCell ref="K49:L49"/>
    <mergeCell ref="K50:L50"/>
    <mergeCell ref="K51:L51"/>
    <mergeCell ref="K52:L52"/>
    <mergeCell ref="K53:L53"/>
    <mergeCell ref="B58:Q58"/>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T1" activeCellId="0" sqref="T1"/>
    </sheetView>
  </sheetViews>
  <sheetFormatPr defaultColWidth="10.72265625" defaultRowHeight="12.75" zeroHeight="false" outlineLevelRow="0" outlineLevelCol="0"/>
  <cols>
    <col collapsed="false" customWidth="true" hidden="false" outlineLevel="0" max="1" min="1" style="328" width="2.71"/>
    <col collapsed="false" customWidth="true" hidden="false" outlineLevel="0" max="2" min="2" style="328" width="22.28"/>
    <col collapsed="false" customWidth="true" hidden="false" outlineLevel="0" max="3" min="3" style="328" width="3.99"/>
    <col collapsed="false" customWidth="true" hidden="false" outlineLevel="0" max="4" min="4" style="328" width="2.99"/>
    <col collapsed="false" customWidth="true" hidden="false" outlineLevel="0" max="5" min="5" style="328" width="3.99"/>
    <col collapsed="false" customWidth="true" hidden="false" outlineLevel="0" max="6" min="6" style="328" width="16.29"/>
    <col collapsed="false" customWidth="true" hidden="false" outlineLevel="0" max="7" min="7" style="328" width="3.99"/>
    <col collapsed="false" customWidth="true" hidden="false" outlineLevel="0" max="8" min="8" style="328" width="2.99"/>
    <col collapsed="false" customWidth="true" hidden="false" outlineLevel="0" max="9" min="9" style="328" width="3.99"/>
    <col collapsed="false" customWidth="true" hidden="false" outlineLevel="0" max="10" min="10" style="328" width="17.71"/>
    <col collapsed="false" customWidth="true" hidden="false" outlineLevel="0" max="11" min="11" style="328" width="3.99"/>
    <col collapsed="false" customWidth="true" hidden="false" outlineLevel="0" max="12" min="12" style="328" width="2.99"/>
    <col collapsed="false" customWidth="true" hidden="false" outlineLevel="0" max="13" min="13" style="328" width="7.29"/>
    <col collapsed="false" customWidth="true" hidden="false" outlineLevel="0" max="14" min="14" style="328" width="21.29"/>
    <col collapsed="false" customWidth="true" hidden="false" outlineLevel="0" max="15" min="15" style="328" width="3.99"/>
    <col collapsed="false" customWidth="true" hidden="false" outlineLevel="0" max="16" min="16" style="328" width="2.99"/>
    <col collapsed="false" customWidth="true" hidden="false" outlineLevel="0" max="17" min="17" style="328" width="3.99"/>
    <col collapsed="false" customWidth="true" hidden="false" outlineLevel="0" max="18" min="18" style="328" width="20.99"/>
    <col collapsed="false" customWidth="false" hidden="false" outlineLevel="0" max="1024" min="19" style="328" width="10.71"/>
  </cols>
  <sheetData>
    <row r="1" customFormat="false" ht="12.75" hidden="false" customHeight="true" outlineLevel="0" collapsed="false">
      <c r="A1" s="18"/>
      <c r="B1" s="18"/>
      <c r="C1" s="18"/>
      <c r="D1" s="18"/>
      <c r="E1" s="18"/>
      <c r="F1" s="18"/>
      <c r="G1" s="18"/>
      <c r="H1" s="18"/>
      <c r="I1" s="18"/>
      <c r="J1" s="18"/>
      <c r="K1" s="18"/>
      <c r="L1" s="18"/>
      <c r="M1" s="18"/>
      <c r="N1" s="18"/>
      <c r="O1" s="18"/>
      <c r="P1" s="18"/>
      <c r="Q1" s="18"/>
      <c r="R1" s="18"/>
    </row>
    <row r="2" customFormat="false" ht="12.75" hidden="false" customHeight="true" outlineLevel="0" collapsed="false">
      <c r="A2" s="18"/>
      <c r="B2" s="32" t="str">
        <f aca="false">'12.lan'!D91&amp;" - "&amp;'0. Intro'!B3&amp;" "&amp;'0. Intro'!C3</f>
        <v>Common Good Balance Calculator - Version 5.04</v>
      </c>
      <c r="C2" s="329"/>
      <c r="D2" s="329"/>
      <c r="E2" s="329"/>
      <c r="F2" s="329"/>
      <c r="G2" s="330"/>
      <c r="H2" s="331"/>
      <c r="I2" s="332" t="str">
        <f aca="false">'12.lan'!D212</f>
        <v>Note: This is not a certificate.</v>
      </c>
      <c r="J2" s="332"/>
      <c r="K2" s="332"/>
      <c r="L2" s="332"/>
      <c r="M2" s="332"/>
      <c r="N2" s="332"/>
      <c r="O2" s="332"/>
      <c r="P2" s="18"/>
      <c r="Q2" s="18"/>
      <c r="R2" s="18"/>
    </row>
    <row r="3" customFormat="false" ht="5.25" hidden="false" customHeight="true" outlineLevel="0" collapsed="false">
      <c r="A3" s="18"/>
      <c r="B3" s="333" t="str">
        <f aca="false">'12.lan'!D213</f>
        <v>COMMON GOOD MATRIX</v>
      </c>
      <c r="C3" s="333"/>
      <c r="D3" s="333"/>
      <c r="E3" s="333"/>
      <c r="F3" s="333"/>
      <c r="G3" s="333"/>
      <c r="H3" s="334"/>
      <c r="I3" s="334"/>
      <c r="J3" s="334"/>
      <c r="K3" s="18"/>
      <c r="L3" s="18"/>
      <c r="M3" s="335"/>
      <c r="N3" s="335"/>
      <c r="O3" s="335"/>
      <c r="P3" s="18"/>
      <c r="Q3" s="18"/>
      <c r="R3" s="18"/>
    </row>
    <row r="4" customFormat="false" ht="15" hidden="false" customHeight="true" outlineLevel="0" collapsed="false">
      <c r="A4" s="18"/>
      <c r="B4" s="333"/>
      <c r="C4" s="333"/>
      <c r="D4" s="333"/>
      <c r="E4" s="333"/>
      <c r="F4" s="333"/>
      <c r="G4" s="333"/>
      <c r="H4" s="334"/>
      <c r="I4" s="336" t="str">
        <f aca="false">'12.lan'!D92</f>
        <v>Total Balance Score:</v>
      </c>
      <c r="J4" s="336"/>
      <c r="K4" s="337" t="n">
        <f aca="false">'3. Calc'!I4</f>
        <v>222.222222222222</v>
      </c>
      <c r="L4" s="337"/>
      <c r="M4" s="338" t="str">
        <f aca="false">'12.lan'!D214&amp;" "&amp;'3. Calc'!$J$4&amp;'12.lan'!D215</f>
        <v>of 1000 points</v>
      </c>
      <c r="N4" s="338"/>
      <c r="O4" s="338"/>
      <c r="P4" s="18"/>
      <c r="Q4" s="18"/>
      <c r="R4" s="18"/>
    </row>
    <row r="5" customFormat="false" ht="12.75" hidden="false" customHeight="true" outlineLevel="0" collapsed="false">
      <c r="A5" s="18"/>
      <c r="B5" s="19" t="str">
        <f aca="false">'12.lan'!D82&amp;": "&amp;'1. General'!C6&amp;"; "&amp;'12.lan'!D83&amp;": "&amp;'1. General'!C12</f>
        <v>Company / Organisation: company; Period under review: </v>
      </c>
      <c r="C5" s="51"/>
      <c r="D5" s="51"/>
      <c r="E5" s="51"/>
      <c r="F5" s="339"/>
      <c r="G5" s="330"/>
      <c r="H5" s="331"/>
      <c r="I5" s="336"/>
      <c r="J5" s="336"/>
      <c r="K5" s="337"/>
      <c r="L5" s="337"/>
      <c r="M5" s="338"/>
      <c r="N5" s="338"/>
      <c r="O5" s="338"/>
      <c r="P5" s="18"/>
      <c r="Q5" s="18"/>
      <c r="R5" s="18"/>
    </row>
    <row r="6" customFormat="false" ht="18" hidden="false" customHeight="true" outlineLevel="0" collapsed="false">
      <c r="A6" s="18"/>
      <c r="B6" s="18"/>
      <c r="C6" s="18"/>
      <c r="D6" s="18"/>
      <c r="E6" s="18"/>
      <c r="F6" s="18"/>
      <c r="G6" s="18"/>
      <c r="H6" s="18"/>
      <c r="I6" s="18"/>
      <c r="J6" s="18"/>
      <c r="K6" s="18"/>
      <c r="L6" s="18"/>
      <c r="M6" s="340"/>
      <c r="N6" s="340"/>
      <c r="O6" s="340"/>
      <c r="P6" s="18"/>
      <c r="Q6" s="18"/>
      <c r="R6" s="18"/>
    </row>
    <row r="7" customFormat="false" ht="36" hidden="false" customHeight="true" outlineLevel="0" collapsed="false">
      <c r="A7" s="18"/>
      <c r="B7" s="341" t="str">
        <f aca="false">'12.lan'!D206</f>
        <v>Values ►
Stakekolders ▼</v>
      </c>
      <c r="C7" s="342" t="str">
        <f aca="false">'12.lan'!D216</f>
        <v>Human dignity</v>
      </c>
      <c r="D7" s="342"/>
      <c r="E7" s="342"/>
      <c r="F7" s="342"/>
      <c r="G7" s="342" t="str">
        <f aca="false">'12.lan'!D217</f>
        <v>Solidarity &amp; social justice</v>
      </c>
      <c r="H7" s="342"/>
      <c r="I7" s="342"/>
      <c r="J7" s="342"/>
      <c r="K7" s="343" t="str">
        <f aca="false">'12.lan'!D218</f>
        <v>Environmental sustainability</v>
      </c>
      <c r="L7" s="343"/>
      <c r="M7" s="343"/>
      <c r="N7" s="343"/>
      <c r="O7" s="342" t="str">
        <f aca="false">'12.lan'!D219</f>
        <v>Transparency &amp; co-determination</v>
      </c>
      <c r="P7" s="342"/>
      <c r="Q7" s="342"/>
      <c r="R7" s="342"/>
    </row>
    <row r="8" customFormat="false" ht="53.25" hidden="false" customHeight="true" outlineLevel="0" collapsed="false">
      <c r="A8" s="18"/>
      <c r="B8" s="344" t="str">
        <f aca="false">"A: "&amp;'12.lan'!D108</f>
        <v>A: Suppliers</v>
      </c>
      <c r="C8" s="345" t="str">
        <f aca="false">'12.lan'!B109</f>
        <v>A1: Human dignity in the supply chain</v>
      </c>
      <c r="D8" s="345"/>
      <c r="E8" s="345"/>
      <c r="F8" s="345"/>
      <c r="G8" s="345" t="str">
        <f aca="false">'12.lan'!B112</f>
        <v>A2: Solidarity and social justice in the supply chain</v>
      </c>
      <c r="H8" s="345"/>
      <c r="I8" s="345"/>
      <c r="J8" s="345"/>
      <c r="K8" s="345" t="str">
        <f aca="false">'12.lan'!B116</f>
        <v>A3: Environmental sustainability in the supply chain</v>
      </c>
      <c r="L8" s="345"/>
      <c r="M8" s="345"/>
      <c r="N8" s="345"/>
      <c r="O8" s="345" t="str">
        <f aca="false">'12.lan'!B119</f>
        <v>A4: Transparency &amp; co-determination in the supply chain</v>
      </c>
      <c r="P8" s="345"/>
      <c r="Q8" s="345"/>
      <c r="R8" s="345"/>
    </row>
    <row r="9" customFormat="false" ht="21" hidden="false" customHeight="true" outlineLevel="0" collapsed="false">
      <c r="A9" s="18"/>
      <c r="B9" s="344"/>
      <c r="C9" s="346" t="n">
        <f aca="false">'3. Calc'!I10</f>
        <v>8.33333333333333</v>
      </c>
      <c r="D9" s="347" t="str">
        <f aca="false">'12.lan'!$D$214</f>
        <v>of</v>
      </c>
      <c r="E9" s="348" t="n">
        <f aca="false">'3. Calc'!J10</f>
        <v>83.3333333333333</v>
      </c>
      <c r="F9" s="349" t="n">
        <f aca="false">'3. Calc'!H10</f>
        <v>0.1</v>
      </c>
      <c r="G9" s="346" t="n">
        <f aca="false">'3. Calc'!I13</f>
        <v>8.33333333333333</v>
      </c>
      <c r="H9" s="347" t="str">
        <f aca="false">'12.lan'!$D$214</f>
        <v>of</v>
      </c>
      <c r="I9" s="348" t="n">
        <f aca="false">'3. Calc'!J13</f>
        <v>83.3333333333333</v>
      </c>
      <c r="J9" s="349" t="n">
        <f aca="false">'3. Calc'!H13</f>
        <v>0.1</v>
      </c>
      <c r="K9" s="346" t="n">
        <f aca="false">'3. Calc'!I17</f>
        <v>8.33333333333333</v>
      </c>
      <c r="L9" s="347" t="str">
        <f aca="false">'12.lan'!$D$214</f>
        <v>of</v>
      </c>
      <c r="M9" s="348" t="n">
        <f aca="false">'3. Calc'!J17</f>
        <v>83.3333333333333</v>
      </c>
      <c r="N9" s="349" t="n">
        <f aca="false">'3. Calc'!H17</f>
        <v>0.1</v>
      </c>
      <c r="O9" s="346" t="n">
        <f aca="false">'3. Calc'!I20</f>
        <v>50</v>
      </c>
      <c r="P9" s="347" t="str">
        <f aca="false">'12.lan'!$D$214</f>
        <v>of</v>
      </c>
      <c r="Q9" s="348" t="n">
        <f aca="false">'3. Calc'!J20</f>
        <v>83.3333333333333</v>
      </c>
      <c r="R9" s="349" t="n">
        <f aca="false">'3. Calc'!H20</f>
        <v>0.6</v>
      </c>
    </row>
    <row r="10" customFormat="false" ht="45" hidden="false" customHeight="true" outlineLevel="0" collapsed="false">
      <c r="A10" s="18"/>
      <c r="B10" s="350" t="str">
        <f aca="false">"B: "&amp;'12.lan'!D122</f>
        <v>B: Owners, equity- and financial service providers</v>
      </c>
      <c r="C10" s="345" t="str">
        <f aca="false">'12.lan'!B123</f>
        <v>B1: Ethical position in relation to financial resources</v>
      </c>
      <c r="D10" s="345"/>
      <c r="E10" s="345"/>
      <c r="F10" s="345"/>
      <c r="G10" s="345" t="str">
        <f aca="false">'12.lan'!B127</f>
        <v>B2: Social position in relation to financial resources</v>
      </c>
      <c r="H10" s="345"/>
      <c r="I10" s="345"/>
      <c r="J10" s="345"/>
      <c r="K10" s="345" t="str">
        <f aca="false">'12.lan'!B130</f>
        <v>B3: Use of funds in relation to social and environmental impacts</v>
      </c>
      <c r="L10" s="345"/>
      <c r="M10" s="345"/>
      <c r="N10" s="345"/>
      <c r="O10" s="345" t="str">
        <f aca="false">'12.lan'!B134&amp;IF('9. Weighting'!I28=1,'12.lan'!D211,"")</f>
        <v>B4: Ownership and co-determination</v>
      </c>
      <c r="P10" s="345"/>
      <c r="Q10" s="345"/>
      <c r="R10" s="345"/>
    </row>
    <row r="11" customFormat="false" ht="28.5" hidden="false" customHeight="true" outlineLevel="0" collapsed="false">
      <c r="A11" s="18"/>
      <c r="B11" s="350"/>
      <c r="C11" s="346" t="n">
        <f aca="false">'3. Calc'!I24</f>
        <v>22.2222222222222</v>
      </c>
      <c r="D11" s="347" t="str">
        <f aca="false">'12.lan'!$D$214</f>
        <v>of</v>
      </c>
      <c r="E11" s="348" t="n">
        <f aca="false">'3. Calc'!J24</f>
        <v>27.7777777777778</v>
      </c>
      <c r="F11" s="349" t="n">
        <f aca="false">'3. Calc'!H24</f>
        <v>0.8</v>
      </c>
      <c r="G11" s="346" t="n">
        <f aca="false">'3. Calc'!I28</f>
        <v>2.77777777777778</v>
      </c>
      <c r="H11" s="347" t="str">
        <f aca="false">'12.lan'!$D$214</f>
        <v>of</v>
      </c>
      <c r="I11" s="348" t="n">
        <f aca="false">'3. Calc'!J28</f>
        <v>27.7777777777778</v>
      </c>
      <c r="J11" s="349" t="n">
        <f aca="false">'3. Calc'!H28</f>
        <v>0.1</v>
      </c>
      <c r="K11" s="346" t="n">
        <f aca="false">'3. Calc'!I31</f>
        <v>8.33333333333333</v>
      </c>
      <c r="L11" s="347" t="str">
        <f aca="false">'12.lan'!$D$214</f>
        <v>of</v>
      </c>
      <c r="M11" s="348" t="n">
        <f aca="false">'3. Calc'!J31</f>
        <v>27.7777777777778</v>
      </c>
      <c r="N11" s="349" t="n">
        <f aca="false">'3. Calc'!H31</f>
        <v>0.3</v>
      </c>
      <c r="O11" s="346" t="n">
        <f aca="false">'3. Calc'!I35</f>
        <v>2.77777777777778</v>
      </c>
      <c r="P11" s="347" t="str">
        <f aca="false">'12.lan'!$D$214</f>
        <v>of</v>
      </c>
      <c r="Q11" s="348" t="n">
        <f aca="false">'3. Calc'!J35</f>
        <v>27.7777777777778</v>
      </c>
      <c r="R11" s="349" t="n">
        <f aca="false">'3. Calc'!H35</f>
        <v>0.1</v>
      </c>
    </row>
    <row r="12" customFormat="false" ht="50.25" hidden="false" customHeight="true" outlineLevel="0" collapsed="false">
      <c r="A12" s="18"/>
      <c r="B12" s="351" t="str">
        <f aca="false">"C: "&amp;'12.lan'!D137</f>
        <v>C: Employees</v>
      </c>
      <c r="C12" s="345" t="str">
        <f aca="false">'12.lan'!B138</f>
        <v>C1: Human dignity in the workplace and working environment</v>
      </c>
      <c r="D12" s="345"/>
      <c r="E12" s="345"/>
      <c r="F12" s="345"/>
      <c r="G12" s="345" t="str">
        <f aca="false">'12.lan'!B143</f>
        <v>C2: Self-determined working arrangements</v>
      </c>
      <c r="H12" s="345"/>
      <c r="I12" s="345"/>
      <c r="J12" s="345"/>
      <c r="K12" s="345" t="str">
        <f aca="false">'12.lan'!B148</f>
        <v>C3: Environmentally-friendly behaviour of staff</v>
      </c>
      <c r="L12" s="345"/>
      <c r="M12" s="345"/>
      <c r="N12" s="345"/>
      <c r="O12" s="345" t="str">
        <f aca="false">'12.lan'!B153</f>
        <v>C4: Co-determination and transparency within the organisation</v>
      </c>
      <c r="P12" s="345"/>
      <c r="Q12" s="345"/>
      <c r="R12" s="345"/>
    </row>
    <row r="13" customFormat="false" ht="16.5" hidden="false" customHeight="true" outlineLevel="0" collapsed="false">
      <c r="A13" s="18"/>
      <c r="B13" s="351"/>
      <c r="C13" s="346" t="n">
        <f aca="false">'3. Calc'!I39</f>
        <v>5.55555555555556</v>
      </c>
      <c r="D13" s="347" t="str">
        <f aca="false">'12.lan'!$D$214</f>
        <v>of</v>
      </c>
      <c r="E13" s="348" t="n">
        <f aca="false">'3. Calc'!J39</f>
        <v>27.7777777777778</v>
      </c>
      <c r="F13" s="349" t="n">
        <f aca="false">'3. Calc'!H39</f>
        <v>0.2</v>
      </c>
      <c r="G13" s="346" t="n">
        <f aca="false">'3. Calc'!I44</f>
        <v>5.55555555555556</v>
      </c>
      <c r="H13" s="347" t="str">
        <f aca="false">'12.lan'!$D$214</f>
        <v>of</v>
      </c>
      <c r="I13" s="348" t="n">
        <f aca="false">'3. Calc'!J44</f>
        <v>27.7777777777778</v>
      </c>
      <c r="J13" s="349" t="n">
        <f aca="false">'3. Calc'!H44</f>
        <v>0.2</v>
      </c>
      <c r="K13" s="346" t="n">
        <f aca="false">'3. Calc'!I49</f>
        <v>5.55555555555556</v>
      </c>
      <c r="L13" s="347" t="str">
        <f aca="false">'12.lan'!$D$214</f>
        <v>of</v>
      </c>
      <c r="M13" s="348" t="n">
        <f aca="false">'3. Calc'!J49</f>
        <v>27.7777777777778</v>
      </c>
      <c r="N13" s="349" t="n">
        <f aca="false">'3. Calc'!H49</f>
        <v>0.2</v>
      </c>
      <c r="O13" s="346" t="n">
        <f aca="false">'3. Calc'!I54</f>
        <v>5.55555555555556</v>
      </c>
      <c r="P13" s="347" t="str">
        <f aca="false">'12.lan'!$D$214</f>
        <v>of</v>
      </c>
      <c r="Q13" s="348" t="n">
        <f aca="false">'3. Calc'!J54</f>
        <v>27.7777777777778</v>
      </c>
      <c r="R13" s="349" t="n">
        <f aca="false">'3. Calc'!H54</f>
        <v>0.2</v>
      </c>
    </row>
    <row r="14" customFormat="false" ht="50.25" hidden="false" customHeight="true" outlineLevel="0" collapsed="false">
      <c r="A14" s="18"/>
      <c r="B14" s="351" t="str">
        <f aca="false">"D: "&amp;'12.lan'!D158</f>
        <v>D: Customers and other companies</v>
      </c>
      <c r="C14" s="345" t="str">
        <f aca="false">'12.lan'!B159</f>
        <v>D1: Ethical customer relations</v>
      </c>
      <c r="D14" s="345"/>
      <c r="E14" s="345"/>
      <c r="F14" s="345"/>
      <c r="G14" s="345" t="str">
        <f aca="false">'12.lan'!B163</f>
        <v>D2: Cooperation and solidarity with other companies</v>
      </c>
      <c r="H14" s="345"/>
      <c r="I14" s="345"/>
      <c r="J14" s="345"/>
      <c r="K14" s="345" t="str">
        <f aca="false">'12.lan'!B167</f>
        <v>D3: Impact on the environment of the use and disposal of products and services</v>
      </c>
      <c r="L14" s="345"/>
      <c r="M14" s="345"/>
      <c r="N14" s="345"/>
      <c r="O14" s="345" t="str">
        <f aca="false">'12.lan'!B171</f>
        <v>D4: Customer participation and product transparency</v>
      </c>
      <c r="P14" s="345"/>
      <c r="Q14" s="345"/>
      <c r="R14" s="345"/>
    </row>
    <row r="15" customFormat="false" ht="16.5" hidden="false" customHeight="true" outlineLevel="0" collapsed="false">
      <c r="A15" s="18"/>
      <c r="B15" s="351"/>
      <c r="C15" s="346" t="n">
        <f aca="false">'3. Calc'!I60</f>
        <v>0</v>
      </c>
      <c r="D15" s="347" t="str">
        <f aca="false">'12.lan'!$D$214</f>
        <v>of</v>
      </c>
      <c r="E15" s="348" t="n">
        <f aca="false">'3. Calc'!J60</f>
        <v>55.5555555555556</v>
      </c>
      <c r="F15" s="349" t="n">
        <f aca="false">'3. Calc'!H60</f>
        <v>0</v>
      </c>
      <c r="G15" s="346" t="n">
        <f aca="false">'3. Calc'!I64</f>
        <v>22.2222222222222</v>
      </c>
      <c r="H15" s="347" t="str">
        <f aca="false">'12.lan'!$D$214</f>
        <v>of</v>
      </c>
      <c r="I15" s="348" t="n">
        <f aca="false">'3. Calc'!J64</f>
        <v>55.5555555555556</v>
      </c>
      <c r="J15" s="349" t="n">
        <f aca="false">'3. Calc'!H64</f>
        <v>0.4</v>
      </c>
      <c r="K15" s="346" t="n">
        <f aca="false">'3. Calc'!I68</f>
        <v>0</v>
      </c>
      <c r="L15" s="347" t="str">
        <f aca="false">'12.lan'!$D$214</f>
        <v>of</v>
      </c>
      <c r="M15" s="348" t="n">
        <f aca="false">'3. Calc'!J68</f>
        <v>55.5555555555556</v>
      </c>
      <c r="N15" s="349" t="n">
        <f aca="false">'3. Calc'!H68</f>
        <v>0</v>
      </c>
      <c r="O15" s="346" t="n">
        <f aca="false">'3. Calc'!I72</f>
        <v>0</v>
      </c>
      <c r="P15" s="347" t="str">
        <f aca="false">'12.lan'!$D$214</f>
        <v>of</v>
      </c>
      <c r="Q15" s="348" t="n">
        <f aca="false">'3. Calc'!J72</f>
        <v>55.5555555555556</v>
      </c>
      <c r="R15" s="349" t="n">
        <f aca="false">'3. Calc'!H72</f>
        <v>0</v>
      </c>
    </row>
    <row r="16" customFormat="false" ht="50.25" hidden="false" customHeight="true" outlineLevel="0" collapsed="false">
      <c r="A16" s="18"/>
      <c r="B16" s="351" t="str">
        <f aca="false">"E: "&amp;'12.lan'!D175</f>
        <v>E: Social environment</v>
      </c>
      <c r="C16" s="345" t="str">
        <f aca="false">'12.lan'!B176</f>
        <v>E1: Purpose of products and services and their effects on society</v>
      </c>
      <c r="D16" s="345"/>
      <c r="E16" s="345"/>
      <c r="F16" s="345"/>
      <c r="G16" s="345" t="str">
        <f aca="false">'12.lan'!B180</f>
        <v>E2: Contribution to the community</v>
      </c>
      <c r="H16" s="345"/>
      <c r="I16" s="345"/>
      <c r="J16" s="345"/>
      <c r="K16" s="345" t="str">
        <f aca="false">'12.lan'!B185</f>
        <v>E3: Reduction of environmental impact</v>
      </c>
      <c r="L16" s="345"/>
      <c r="M16" s="345"/>
      <c r="N16" s="345"/>
      <c r="O16" s="345" t="str">
        <f aca="false">'12.lan'!B189</f>
        <v>E4: Social co-determination and transparency</v>
      </c>
      <c r="P16" s="345"/>
      <c r="Q16" s="345"/>
      <c r="R16" s="345"/>
    </row>
    <row r="17" customFormat="false" ht="16.5" hidden="false" customHeight="true" outlineLevel="0" collapsed="false">
      <c r="A17" s="18"/>
      <c r="B17" s="351"/>
      <c r="C17" s="346" t="n">
        <f aca="false">'3. Calc'!I77</f>
        <v>0</v>
      </c>
      <c r="D17" s="347" t="str">
        <f aca="false">'12.lan'!$D$214</f>
        <v>of</v>
      </c>
      <c r="E17" s="348" t="n">
        <f aca="false">'3. Calc'!J77</f>
        <v>55.5555555555556</v>
      </c>
      <c r="F17" s="349" t="n">
        <f aca="false">'3. Calc'!H77</f>
        <v>0</v>
      </c>
      <c r="G17" s="346" t="n">
        <f aca="false">'3. Calc'!I81</f>
        <v>11.1111111111111</v>
      </c>
      <c r="H17" s="347" t="str">
        <f aca="false">'12.lan'!$D$214</f>
        <v>of</v>
      </c>
      <c r="I17" s="348" t="n">
        <f aca="false">'3. Calc'!J81</f>
        <v>55.5555555555556</v>
      </c>
      <c r="J17" s="349" t="n">
        <f aca="false">'3. Calc'!H81</f>
        <v>0.2</v>
      </c>
      <c r="K17" s="346" t="n">
        <f aca="false">'3. Calc'!I86</f>
        <v>22.2222222222222</v>
      </c>
      <c r="L17" s="347" t="str">
        <f aca="false">'12.lan'!$D$214</f>
        <v>of</v>
      </c>
      <c r="M17" s="348" t="n">
        <f aca="false">'3. Calc'!J86</f>
        <v>55.5555555555556</v>
      </c>
      <c r="N17" s="349" t="n">
        <f aca="false">'3. Calc'!H86</f>
        <v>0.4</v>
      </c>
      <c r="O17" s="346" t="n">
        <f aca="false">'3. Calc'!I90</f>
        <v>33.3333333333333</v>
      </c>
      <c r="P17" s="347" t="str">
        <f aca="false">'12.lan'!$D$214</f>
        <v>of</v>
      </c>
      <c r="Q17" s="348" t="n">
        <f aca="false">'3. Calc'!J90</f>
        <v>55.5555555555556</v>
      </c>
      <c r="R17" s="349" t="n">
        <f aca="false">'3. Calc'!H90</f>
        <v>0.6</v>
      </c>
    </row>
  </sheetData>
  <sheetProtection algorithmName="SHA-512" hashValue="610podPOtyNzJB3Jag7nuM+Teq0RdObkoTAWrkHWukVr7yavy4iIgT8YXr7QO7KzMWo6WPZnWII8ElWlq3SX6g==" saltValue="3I1vzbp82/pN38QLfF9TVQ==" spinCount="100000" sheet="true" objects="true" scenarios="true"/>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priority="2" operator="lessThan" aboveAverage="0" equalAverage="0" bottom="0" percent="0" rank="0" text="" dxfId="19">
      <formula>0</formula>
    </cfRule>
  </conditionalFormatting>
  <printOptions headings="false" gridLines="false" gridLinesSet="true" horizontalCentered="false" verticalCentered="false"/>
  <pageMargins left="0.354166666666667" right="0.590277777777778" top="0.354166666666667"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P1" activeCellId="0" sqref="P1"/>
    </sheetView>
  </sheetViews>
  <sheetFormatPr defaultColWidth="10.72265625" defaultRowHeight="14.1" zeroHeight="false" outlineLevelRow="0" outlineLevelCol="0"/>
  <cols>
    <col collapsed="false" customWidth="true" hidden="false" outlineLevel="0" max="1" min="1" style="352" width="2.71"/>
    <col collapsed="false" customWidth="true" hidden="false" outlineLevel="0" max="2" min="2" style="352" width="49.86"/>
    <col collapsed="false" customWidth="true" hidden="false" outlineLevel="0" max="3" min="3" style="352" width="7.29"/>
    <col collapsed="false" customWidth="true" hidden="false" outlineLevel="0" max="4" min="4" style="353" width="5.28"/>
    <col collapsed="false" customWidth="true" hidden="false" outlineLevel="0" max="5" min="5" style="352" width="6.71"/>
    <col collapsed="false" customWidth="true" hidden="false" outlineLevel="0" max="6" min="6" style="354" width="15"/>
    <col collapsed="false" customWidth="false" hidden="false" outlineLevel="0" max="7" min="7" style="355" width="10.71"/>
    <col collapsed="false" customWidth="false" hidden="false" outlineLevel="0" max="1024" min="8" style="352" width="10.71"/>
  </cols>
  <sheetData>
    <row r="1" customFormat="false" ht="14.1" hidden="false" customHeight="true" outlineLevel="0" collapsed="false">
      <c r="A1" s="356"/>
      <c r="B1" s="357"/>
      <c r="C1" s="358"/>
      <c r="D1" s="357"/>
      <c r="E1" s="359"/>
      <c r="F1" s="358"/>
    </row>
    <row r="2" customFormat="false" ht="14.1" hidden="false" customHeight="true" outlineLevel="0" collapsed="false">
      <c r="A2" s="356"/>
      <c r="B2" s="360" t="str">
        <f aca="false">'12.lan'!D91&amp;" - "&amp;'0. Intro'!B3&amp;" "&amp;'0. Intro'!C3</f>
        <v>Common Good Balance Calculator - Version 5.04</v>
      </c>
      <c r="C2" s="360"/>
      <c r="D2" s="360"/>
      <c r="E2" s="360"/>
      <c r="F2" s="360"/>
    </row>
    <row r="3" customFormat="false" ht="7.5" hidden="false" customHeight="true" outlineLevel="0" collapsed="false">
      <c r="A3" s="356"/>
      <c r="B3" s="361" t="str">
        <f aca="false">'12.lan'!D241&amp;'1. General'!C6</f>
        <v>Values star for company</v>
      </c>
      <c r="C3" s="361"/>
      <c r="D3" s="361"/>
      <c r="E3" s="361"/>
      <c r="F3" s="361"/>
    </row>
    <row r="4" customFormat="false" ht="15" hidden="false" customHeight="true" outlineLevel="0" collapsed="false">
      <c r="A4" s="356"/>
      <c r="B4" s="361"/>
      <c r="C4" s="361"/>
      <c r="D4" s="361"/>
      <c r="E4" s="361"/>
      <c r="F4" s="361"/>
    </row>
    <row r="5" customFormat="false" ht="30" hidden="false" customHeight="true" outlineLevel="0" collapsed="false">
      <c r="A5" s="356"/>
      <c r="B5" s="362"/>
      <c r="C5" s="358"/>
      <c r="D5" s="357"/>
      <c r="E5" s="359"/>
      <c r="F5" s="358"/>
    </row>
    <row r="6" customFormat="false" ht="14.1" hidden="false" customHeight="true" outlineLevel="0" collapsed="false">
      <c r="A6" s="356"/>
      <c r="B6" s="362"/>
      <c r="C6" s="358"/>
      <c r="D6" s="357"/>
      <c r="E6" s="359"/>
      <c r="F6" s="358"/>
    </row>
    <row r="7" customFormat="false" ht="14.1" hidden="false" customHeight="true" outlineLevel="0" collapsed="false">
      <c r="A7" s="356"/>
      <c r="B7" s="362"/>
      <c r="C7" s="363"/>
      <c r="D7" s="363"/>
      <c r="E7" s="362"/>
      <c r="F7" s="356"/>
    </row>
    <row r="8" customFormat="false" ht="15" hidden="false" customHeight="true" outlineLevel="0" collapsed="false">
      <c r="A8" s="356"/>
      <c r="B8" s="358"/>
      <c r="C8" s="358"/>
      <c r="D8" s="357"/>
      <c r="E8" s="359"/>
      <c r="F8" s="358"/>
    </row>
    <row r="9" customFormat="false" ht="30" hidden="false" customHeight="true" outlineLevel="0" collapsed="false">
      <c r="A9" s="356"/>
      <c r="B9" s="364"/>
      <c r="C9" s="365"/>
      <c r="D9" s="366"/>
      <c r="E9" s="365"/>
      <c r="F9" s="367"/>
    </row>
    <row r="10" customFormat="false" ht="30" hidden="false" customHeight="true" outlineLevel="0" collapsed="false">
      <c r="A10" s="356"/>
      <c r="B10" s="364"/>
      <c r="C10" s="365"/>
      <c r="D10" s="366"/>
      <c r="E10" s="365"/>
      <c r="F10" s="367"/>
    </row>
    <row r="11" customFormat="false" ht="30" hidden="false" customHeight="true" outlineLevel="0" collapsed="false">
      <c r="A11" s="356"/>
      <c r="B11" s="364"/>
      <c r="C11" s="365"/>
      <c r="D11" s="366"/>
      <c r="E11" s="365"/>
      <c r="F11" s="367"/>
    </row>
    <row r="12" customFormat="false" ht="30" hidden="false" customHeight="true" outlineLevel="0" collapsed="false">
      <c r="A12" s="356"/>
      <c r="B12" s="364"/>
      <c r="C12" s="365"/>
      <c r="D12" s="366"/>
      <c r="E12" s="365"/>
      <c r="F12" s="367"/>
    </row>
    <row r="13" customFormat="false" ht="30" hidden="false" customHeight="true" outlineLevel="0" collapsed="false">
      <c r="A13" s="356"/>
      <c r="B13" s="364"/>
      <c r="C13" s="365"/>
      <c r="D13" s="366"/>
      <c r="E13" s="365"/>
      <c r="F13" s="367"/>
    </row>
    <row r="14" customFormat="false" ht="14.1" hidden="false" customHeight="true" outlineLevel="0" collapsed="false">
      <c r="A14" s="356"/>
      <c r="B14" s="356"/>
      <c r="C14" s="356"/>
      <c r="D14" s="357"/>
      <c r="E14" s="356"/>
      <c r="F14" s="358"/>
    </row>
    <row r="15" customFormat="false" ht="15" hidden="false" customHeight="true" outlineLevel="0" collapsed="false">
      <c r="A15" s="356"/>
      <c r="B15" s="368"/>
      <c r="C15" s="368"/>
      <c r="D15" s="368"/>
      <c r="E15" s="368"/>
      <c r="F15" s="368"/>
    </row>
    <row r="16" customFormat="false" ht="93.75" hidden="false" customHeight="true" outlineLevel="0" collapsed="false">
      <c r="A16" s="356"/>
      <c r="B16" s="369"/>
      <c r="C16" s="369"/>
      <c r="D16" s="369"/>
      <c r="E16" s="369"/>
      <c r="F16" s="369"/>
    </row>
    <row r="17" customFormat="false" ht="30" hidden="false" customHeight="true" outlineLevel="0" collapsed="false">
      <c r="A17" s="356"/>
      <c r="B17" s="370" t="str">
        <f aca="false">'12.lan'!D221</f>
        <v>BALANCE OVERVIEW</v>
      </c>
      <c r="C17" s="370"/>
      <c r="D17" s="370"/>
      <c r="E17" s="370"/>
      <c r="F17" s="370"/>
    </row>
    <row r="18" customFormat="false" ht="26.25" hidden="false" customHeight="true" outlineLevel="0" collapsed="false">
      <c r="A18" s="356"/>
      <c r="B18" s="371" t="str">
        <f aca="false">'12.lan'!D216</f>
        <v>Human dignity</v>
      </c>
      <c r="C18" s="372" t="n">
        <f aca="false">'4. ECG-Matrix'!C9+'4. ECG-Matrix'!C11+'4. ECG-Matrix'!C13+'4. ECG-Matrix'!C15+'4. ECG-Matrix'!C17</f>
        <v>36.1111111111111</v>
      </c>
      <c r="D18" s="373" t="str">
        <f aca="false">'12.lan'!$D$214</f>
        <v>of</v>
      </c>
      <c r="E18" s="374" t="n">
        <f aca="false">'4. ECG-Matrix'!E9+'4. ECG-Matrix'!E11+'4. ECG-Matrix'!E13+'4. ECG-Matrix'!E15+'4. ECG-Matrix'!E17</f>
        <v>250</v>
      </c>
      <c r="F18" s="375" t="n">
        <f aca="false">C18/E18</f>
        <v>0.144444444444444</v>
      </c>
      <c r="G18" s="376" t="n">
        <f aca="false">IF(F18&lt;0,0,F18)</f>
        <v>0.144444444444444</v>
      </c>
    </row>
    <row r="19" customFormat="false" ht="26.25" hidden="false" customHeight="true" outlineLevel="0" collapsed="false">
      <c r="A19" s="356"/>
      <c r="B19" s="371" t="str">
        <f aca="false">'12.lan'!D217</f>
        <v>Solidarity &amp; social justice</v>
      </c>
      <c r="C19" s="372" t="n">
        <f aca="false">'4. ECG-Matrix'!G9+'4. ECG-Matrix'!G11+'4. ECG-Matrix'!G13+'4. ECG-Matrix'!G15+'4. ECG-Matrix'!G17</f>
        <v>50</v>
      </c>
      <c r="D19" s="373" t="str">
        <f aca="false">'12.lan'!$D$214</f>
        <v>of</v>
      </c>
      <c r="E19" s="374" t="n">
        <f aca="false">'4. ECG-Matrix'!I9+'4. ECG-Matrix'!I11+'4. ECG-Matrix'!I13+'4. ECG-Matrix'!I15+'4. ECG-Matrix'!I17</f>
        <v>250</v>
      </c>
      <c r="F19" s="375" t="n">
        <f aca="false">C19/E19</f>
        <v>0.2</v>
      </c>
      <c r="G19" s="376" t="n">
        <f aca="false">IF(F19&lt;0,0,F19)</f>
        <v>0.2</v>
      </c>
    </row>
    <row r="20" customFormat="false" ht="26.25" hidden="false" customHeight="true" outlineLevel="0" collapsed="false">
      <c r="A20" s="356"/>
      <c r="B20" s="371" t="str">
        <f aca="false">'12.lan'!D218</f>
        <v>Environmental sustainability</v>
      </c>
      <c r="C20" s="372" t="n">
        <f aca="false">'4. ECG-Matrix'!K9+'4. ECG-Matrix'!K11+'4. ECG-Matrix'!K13+'4. ECG-Matrix'!K15+'4. ECG-Matrix'!K17</f>
        <v>44.4444444444444</v>
      </c>
      <c r="D20" s="373" t="str">
        <f aca="false">'12.lan'!$D$214</f>
        <v>of</v>
      </c>
      <c r="E20" s="374" t="n">
        <f aca="false">'4. ECG-Matrix'!M9+'4. ECG-Matrix'!M11+'4. ECG-Matrix'!M13+'4. ECG-Matrix'!M15+'4. ECG-Matrix'!M17</f>
        <v>250</v>
      </c>
      <c r="F20" s="375" t="n">
        <f aca="false">C20/E20</f>
        <v>0.177777777777778</v>
      </c>
      <c r="G20" s="376" t="n">
        <f aca="false">IF(F20&lt;0,0,F20)</f>
        <v>0.177777777777778</v>
      </c>
    </row>
    <row r="21" customFormat="false" ht="26.25" hidden="false" customHeight="true" outlineLevel="0" collapsed="false">
      <c r="A21" s="356"/>
      <c r="B21" s="371" t="str">
        <f aca="false">'12.lan'!D219</f>
        <v>Transparency &amp; co-determination</v>
      </c>
      <c r="C21" s="372" t="n">
        <f aca="false">'4. ECG-Matrix'!O9+'4. ECG-Matrix'!O11+'4. ECG-Matrix'!O13+'4. ECG-Matrix'!O15+'4. ECG-Matrix'!O17</f>
        <v>91.6666666666667</v>
      </c>
      <c r="D21" s="373" t="str">
        <f aca="false">'12.lan'!$D$214</f>
        <v>of</v>
      </c>
      <c r="E21" s="374" t="n">
        <f aca="false">'4. ECG-Matrix'!Q9+'4. ECG-Matrix'!Q11+'4. ECG-Matrix'!Q13+'4. ECG-Matrix'!Q15+'4. ECG-Matrix'!Q17</f>
        <v>250</v>
      </c>
      <c r="F21" s="375" t="n">
        <f aca="false">C21/E21</f>
        <v>0.366666666666667</v>
      </c>
      <c r="G21" s="376" t="n">
        <f aca="false">IF(F21&lt;0,0,F21)</f>
        <v>0.366666666666667</v>
      </c>
    </row>
    <row r="22" customFormat="false" ht="30" hidden="false" customHeight="true" outlineLevel="0" collapsed="false">
      <c r="A22" s="356"/>
      <c r="B22" s="377" t="str">
        <f aca="false">'12.lan'!D228</f>
        <v>TOTAL</v>
      </c>
      <c r="C22" s="378" t="n">
        <f aca="false">'3. Calc'!I4</f>
        <v>222.222222222222</v>
      </c>
      <c r="D22" s="379" t="str">
        <f aca="false">'12.lan'!$D$214</f>
        <v>of</v>
      </c>
      <c r="E22" s="380" t="n">
        <f aca="false">'3. Calc'!J4</f>
        <v>1000</v>
      </c>
      <c r="F22" s="381" t="n">
        <f aca="false">C22/E22</f>
        <v>0.222222222222222</v>
      </c>
    </row>
    <row r="23" customFormat="false" ht="14.1" hidden="false" customHeight="true" outlineLevel="0" collapsed="false">
      <c r="A23" s="356"/>
      <c r="B23" s="356"/>
      <c r="C23" s="356"/>
      <c r="D23" s="357"/>
      <c r="E23" s="356"/>
      <c r="F23" s="358"/>
    </row>
  </sheetData>
  <sheetProtection algorithmName="SHA-512" hashValue="2VDitAmIvAUz6EsazLr6TdRlahrW0hzafISm0YKGOSawTfkca8sbe+e5s8ZTk/1mYv8BAb46ZPjiEZduqsKWww==" saltValue="I5MajibWbKLiE/kaIbpGoA==" spinCount="100000" sheet="true" objects="true" scenarios="true"/>
  <mergeCells count="5">
    <mergeCell ref="B2:F2"/>
    <mergeCell ref="B3:F4"/>
    <mergeCell ref="B15:F15"/>
    <mergeCell ref="B16:F16"/>
    <mergeCell ref="B17:F17"/>
  </mergeCells>
  <conditionalFormatting sqref="F18:F21">
    <cfRule type="cellIs" priority="2" operator="lessThan" aboveAverage="0" equalAverage="0" bottom="0" percent="0" rank="0" text="" dxfId="20">
      <formula>0</formula>
    </cfRule>
  </conditionalFormatting>
  <conditionalFormatting sqref="F22">
    <cfRule type="cellIs" priority="3" operator="lessThan" aboveAverage="0" equalAverage="0" bottom="0" percent="0" rank="0" text="" dxfId="21">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3" activeCellId="0" sqref="H13"/>
    </sheetView>
  </sheetViews>
  <sheetFormatPr defaultColWidth="10.72265625" defaultRowHeight="14.1" zeroHeight="false" outlineLevelRow="0" outlineLevelCol="0"/>
  <cols>
    <col collapsed="false" customWidth="true" hidden="false" outlineLevel="0" max="1" min="1" style="352" width="2.71"/>
    <col collapsed="false" customWidth="true" hidden="false" outlineLevel="0" max="2" min="2" style="352" width="54.29"/>
    <col collapsed="false" customWidth="true" hidden="false" outlineLevel="0" max="3" min="3" style="352" width="7.29"/>
    <col collapsed="false" customWidth="true" hidden="false" outlineLevel="0" max="4" min="4" style="353" width="5.28"/>
    <col collapsed="false" customWidth="true" hidden="false" outlineLevel="0" max="5" min="5" style="352" width="6.71"/>
    <col collapsed="false" customWidth="true" hidden="false" outlineLevel="0" max="6" min="6" style="354" width="15"/>
    <col collapsed="false" customWidth="false" hidden="false" outlineLevel="0" max="7" min="7" style="355" width="10.71"/>
    <col collapsed="false" customWidth="false" hidden="false" outlineLevel="0" max="1024" min="8" style="352" width="10.71"/>
  </cols>
  <sheetData>
    <row r="1" customFormat="false" ht="14.1" hidden="false" customHeight="true" outlineLevel="0" collapsed="false">
      <c r="A1" s="356"/>
      <c r="B1" s="357"/>
      <c r="C1" s="358"/>
      <c r="D1" s="357"/>
      <c r="E1" s="359"/>
      <c r="F1" s="358"/>
    </row>
    <row r="2" customFormat="false" ht="14.1" hidden="false" customHeight="true" outlineLevel="0" collapsed="false">
      <c r="A2" s="356"/>
      <c r="B2" s="360" t="str">
        <f aca="false">'12.lan'!D91&amp;" - "&amp;'0. Intro'!B3&amp;" "&amp;'0. Intro'!C3</f>
        <v>Common Good Balance Calculator - Version 5.04</v>
      </c>
      <c r="C2" s="360"/>
      <c r="D2" s="360"/>
      <c r="E2" s="360"/>
      <c r="F2" s="360"/>
    </row>
    <row r="3" customFormat="false" ht="7.5" hidden="false" customHeight="true" outlineLevel="0" collapsed="false">
      <c r="A3" s="356"/>
      <c r="B3" s="361" t="str">
        <f aca="false">'12.lan'!D242&amp;'1. General'!C6</f>
        <v>Group star for company</v>
      </c>
      <c r="C3" s="361"/>
      <c r="D3" s="361"/>
      <c r="E3" s="361"/>
      <c r="F3" s="361"/>
    </row>
    <row r="4" customFormat="false" ht="15" hidden="false" customHeight="true" outlineLevel="0" collapsed="false">
      <c r="A4" s="356"/>
      <c r="B4" s="361"/>
      <c r="C4" s="361"/>
      <c r="D4" s="361"/>
      <c r="E4" s="361"/>
      <c r="F4" s="361"/>
    </row>
    <row r="5" customFormat="false" ht="30" hidden="false" customHeight="true" outlineLevel="0" collapsed="false">
      <c r="A5" s="356"/>
      <c r="B5" s="362"/>
      <c r="C5" s="358"/>
      <c r="D5" s="357"/>
      <c r="E5" s="359"/>
      <c r="F5" s="358"/>
    </row>
    <row r="6" customFormat="false" ht="14.1" hidden="false" customHeight="true" outlineLevel="0" collapsed="false">
      <c r="A6" s="356"/>
      <c r="B6" s="362"/>
      <c r="C6" s="358"/>
      <c r="D6" s="357"/>
      <c r="E6" s="359"/>
      <c r="F6" s="358"/>
    </row>
    <row r="7" customFormat="false" ht="14.1" hidden="false" customHeight="true" outlineLevel="0" collapsed="false">
      <c r="A7" s="356"/>
      <c r="B7" s="362"/>
      <c r="C7" s="363"/>
      <c r="D7" s="363"/>
      <c r="E7" s="362"/>
      <c r="F7" s="356"/>
    </row>
    <row r="8" customFormat="false" ht="15" hidden="false" customHeight="true" outlineLevel="0" collapsed="false">
      <c r="A8" s="356"/>
      <c r="B8" s="358"/>
      <c r="C8" s="358"/>
      <c r="D8" s="357"/>
      <c r="E8" s="359"/>
      <c r="F8" s="358"/>
    </row>
    <row r="9" customFormat="false" ht="30" hidden="false" customHeight="true" outlineLevel="0" collapsed="false">
      <c r="A9" s="356"/>
      <c r="B9" s="364"/>
      <c r="C9" s="365"/>
      <c r="D9" s="366"/>
      <c r="E9" s="365"/>
      <c r="F9" s="367"/>
    </row>
    <row r="10" customFormat="false" ht="30" hidden="false" customHeight="true" outlineLevel="0" collapsed="false">
      <c r="A10" s="356"/>
      <c r="B10" s="364"/>
      <c r="C10" s="365"/>
      <c r="D10" s="366"/>
      <c r="E10" s="365"/>
      <c r="F10" s="367"/>
    </row>
    <row r="11" customFormat="false" ht="30" hidden="false" customHeight="true" outlineLevel="0" collapsed="false">
      <c r="A11" s="356"/>
      <c r="B11" s="364"/>
      <c r="C11" s="365"/>
      <c r="D11" s="366"/>
      <c r="E11" s="365"/>
      <c r="F11" s="367"/>
    </row>
    <row r="12" customFormat="false" ht="30" hidden="false" customHeight="true" outlineLevel="0" collapsed="false">
      <c r="A12" s="356"/>
      <c r="B12" s="364"/>
      <c r="C12" s="365"/>
      <c r="D12" s="366"/>
      <c r="E12" s="365"/>
      <c r="F12" s="367"/>
    </row>
    <row r="13" customFormat="false" ht="30" hidden="false" customHeight="true" outlineLevel="0" collapsed="false">
      <c r="A13" s="356"/>
      <c r="B13" s="364"/>
      <c r="C13" s="365"/>
      <c r="D13" s="366"/>
      <c r="E13" s="365"/>
      <c r="F13" s="367"/>
    </row>
    <row r="14" customFormat="false" ht="14.1" hidden="false" customHeight="true" outlineLevel="0" collapsed="false">
      <c r="A14" s="356"/>
      <c r="B14" s="356"/>
      <c r="C14" s="356"/>
      <c r="D14" s="357"/>
      <c r="E14" s="356"/>
      <c r="F14" s="358"/>
    </row>
    <row r="15" customFormat="false" ht="15" hidden="false" customHeight="true" outlineLevel="0" collapsed="false">
      <c r="A15" s="356"/>
      <c r="B15" s="368"/>
      <c r="C15" s="368"/>
      <c r="D15" s="368"/>
      <c r="E15" s="368"/>
      <c r="F15" s="368"/>
    </row>
    <row r="16" customFormat="false" ht="93.75" hidden="false" customHeight="true" outlineLevel="0" collapsed="false">
      <c r="A16" s="356"/>
      <c r="B16" s="369"/>
      <c r="C16" s="369"/>
      <c r="D16" s="369"/>
      <c r="E16" s="369"/>
      <c r="F16" s="369"/>
    </row>
    <row r="17" customFormat="false" ht="30" hidden="false" customHeight="true" outlineLevel="0" collapsed="false">
      <c r="A17" s="356"/>
      <c r="B17" s="370" t="str">
        <f aca="false">'12.lan'!D221</f>
        <v>BALANCE OVERVIEW</v>
      </c>
      <c r="C17" s="370"/>
      <c r="D17" s="370"/>
      <c r="E17" s="370"/>
      <c r="F17" s="370"/>
    </row>
    <row r="18" customFormat="false" ht="26.25" hidden="false" customHeight="true" outlineLevel="0" collapsed="false">
      <c r="A18" s="356"/>
      <c r="B18" s="371" t="str">
        <f aca="false">'12.lan'!D108</f>
        <v>Suppliers</v>
      </c>
      <c r="C18" s="372" t="n">
        <f aca="false">'3. Calc'!I9</f>
        <v>75</v>
      </c>
      <c r="D18" s="373" t="str">
        <f aca="false">'12.lan'!$D$214</f>
        <v>of</v>
      </c>
      <c r="E18" s="374" t="n">
        <f aca="false">'3. Calc'!J9</f>
        <v>333.333333333333</v>
      </c>
      <c r="F18" s="375" t="n">
        <f aca="false">C18/E18</f>
        <v>0.225</v>
      </c>
      <c r="G18" s="376" t="n">
        <f aca="false">IF(F18&lt;0,0,F18)</f>
        <v>0.225</v>
      </c>
    </row>
    <row r="19" customFormat="false" ht="26.25" hidden="false" customHeight="true" outlineLevel="0" collapsed="false">
      <c r="A19" s="356"/>
      <c r="B19" s="371" t="str">
        <f aca="false">'12.lan'!D122</f>
        <v>Owners, equity- and financial service providers</v>
      </c>
      <c r="C19" s="372" t="n">
        <f aca="false">'3. Calc'!I23</f>
        <v>36.1111111111111</v>
      </c>
      <c r="D19" s="373" t="str">
        <f aca="false">'12.lan'!$D$214</f>
        <v>of</v>
      </c>
      <c r="E19" s="374" t="n">
        <f aca="false">'3. Calc'!J23</f>
        <v>111.111111111111</v>
      </c>
      <c r="F19" s="375" t="n">
        <f aca="false">C19/E19</f>
        <v>0.325</v>
      </c>
      <c r="G19" s="376" t="n">
        <f aca="false">IF(F19&lt;0,0,F19)</f>
        <v>0.325</v>
      </c>
    </row>
    <row r="20" customFormat="false" ht="26.25" hidden="false" customHeight="true" outlineLevel="0" collapsed="false">
      <c r="A20" s="356"/>
      <c r="B20" s="371" t="str">
        <f aca="false">'12.lan'!D137</f>
        <v>Employees</v>
      </c>
      <c r="C20" s="372" t="n">
        <f aca="false">'3. Calc'!I38</f>
        <v>22.2222222222222</v>
      </c>
      <c r="D20" s="373" t="str">
        <f aca="false">'12.lan'!$D$214</f>
        <v>of</v>
      </c>
      <c r="E20" s="374" t="n">
        <f aca="false">'3. Calc'!J38</f>
        <v>111.111111111111</v>
      </c>
      <c r="F20" s="375" t="n">
        <f aca="false">C20/E20</f>
        <v>0.2</v>
      </c>
      <c r="G20" s="376" t="n">
        <f aca="false">IF(F20&lt;0,0,F20)</f>
        <v>0.2</v>
      </c>
    </row>
    <row r="21" customFormat="false" ht="26.25" hidden="false" customHeight="true" outlineLevel="0" collapsed="false">
      <c r="A21" s="356"/>
      <c r="B21" s="371" t="str">
        <f aca="false">'12.lan'!D158</f>
        <v>Customers and other companies</v>
      </c>
      <c r="C21" s="372" t="n">
        <f aca="false">'3. Calc'!I59</f>
        <v>22.2222222222222</v>
      </c>
      <c r="D21" s="373" t="str">
        <f aca="false">'12.lan'!$D$214</f>
        <v>of</v>
      </c>
      <c r="E21" s="374" t="n">
        <f aca="false">'3. Calc'!J59</f>
        <v>222.222222222222</v>
      </c>
      <c r="F21" s="375" t="n">
        <f aca="false">C21/E21</f>
        <v>0.1</v>
      </c>
      <c r="G21" s="376" t="n">
        <f aca="false">IF(F21&lt;0,0,F21)</f>
        <v>0.1</v>
      </c>
    </row>
    <row r="22" customFormat="false" ht="26.25" hidden="false" customHeight="true" outlineLevel="0" collapsed="false">
      <c r="A22" s="356"/>
      <c r="B22" s="371" t="str">
        <f aca="false">'12.lan'!D175</f>
        <v>Social environment</v>
      </c>
      <c r="C22" s="372" t="n">
        <f aca="false">'3. Calc'!I76</f>
        <v>66.6666666666667</v>
      </c>
      <c r="D22" s="373" t="str">
        <f aca="false">'12.lan'!$D$214</f>
        <v>of</v>
      </c>
      <c r="E22" s="374" t="n">
        <f aca="false">'3. Calc'!J76</f>
        <v>222.222222222222</v>
      </c>
      <c r="F22" s="375" t="n">
        <f aca="false">C22/E22</f>
        <v>0.3</v>
      </c>
      <c r="G22" s="376" t="n">
        <f aca="false">IF(F22&lt;0,0,F22)</f>
        <v>0.3</v>
      </c>
    </row>
    <row r="23" customFormat="false" ht="30" hidden="false" customHeight="true" outlineLevel="0" collapsed="false">
      <c r="A23" s="356"/>
      <c r="B23" s="377" t="str">
        <f aca="false">'12.lan'!D228</f>
        <v>TOTAL</v>
      </c>
      <c r="C23" s="378" t="n">
        <f aca="false">'3. Calc'!I4</f>
        <v>222.222222222222</v>
      </c>
      <c r="D23" s="379" t="str">
        <f aca="false">'12.lan'!$D$214</f>
        <v>of</v>
      </c>
      <c r="E23" s="380" t="n">
        <f aca="false">'3. Calc'!J4</f>
        <v>1000</v>
      </c>
      <c r="F23" s="381" t="n">
        <f aca="false">C23/E23</f>
        <v>0.222222222222222</v>
      </c>
    </row>
    <row r="24" customFormat="false" ht="14.1" hidden="false" customHeight="true" outlineLevel="0" collapsed="false">
      <c r="A24" s="356"/>
      <c r="B24" s="356"/>
      <c r="C24" s="356"/>
      <c r="D24" s="357"/>
      <c r="E24" s="356"/>
      <c r="F24" s="358"/>
    </row>
  </sheetData>
  <sheetProtection algorithmName="SHA-512" hashValue="S3sYnfJzv7b5grFBURI1PY3eXB/OAPbjA7mAVecZhjWX6zr+Qh2Z2ZVjJAQX6HJW24OGJpHKOtn97rJxRNU7Zg==" saltValue="SrAp9/7PzsF/865BvEybtQ==" spinCount="100000" sheet="true" objects="true" scenarios="true"/>
  <mergeCells count="5">
    <mergeCell ref="B2:F2"/>
    <mergeCell ref="B3:F4"/>
    <mergeCell ref="B15:F15"/>
    <mergeCell ref="B16:F16"/>
    <mergeCell ref="B17:F17"/>
  </mergeCells>
  <conditionalFormatting sqref="F18:F22">
    <cfRule type="cellIs" priority="2" operator="lessThan" aboveAverage="0" equalAverage="0" bottom="0" percent="0" rank="0" text="" dxfId="22">
      <formula>0</formula>
    </cfRule>
  </conditionalFormatting>
  <conditionalFormatting sqref="F23">
    <cfRule type="cellIs" priority="3" operator="lessThan" aboveAverage="0" equalAverage="0" bottom="0" percent="0" rank="0" text="" dxfId="23">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3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 activeCellId="0" sqref="H1"/>
    </sheetView>
  </sheetViews>
  <sheetFormatPr defaultColWidth="10.72265625" defaultRowHeight="14.1" zeroHeight="false" outlineLevelRow="0" outlineLevelCol="0"/>
  <cols>
    <col collapsed="false" customWidth="true" hidden="false" outlineLevel="0" max="1" min="1" style="352" width="2.71"/>
    <col collapsed="false" customWidth="true" hidden="false" outlineLevel="0" max="2" min="2" style="352" width="49.86"/>
    <col collapsed="false" customWidth="true" hidden="false" outlineLevel="0" max="3" min="3" style="352" width="7.29"/>
    <col collapsed="false" customWidth="true" hidden="false" outlineLevel="0" max="4" min="4" style="353" width="5.28"/>
    <col collapsed="false" customWidth="true" hidden="false" outlineLevel="0" max="5" min="5" style="352" width="6.71"/>
    <col collapsed="false" customWidth="true" hidden="false" outlineLevel="0" max="6" min="6" style="354" width="15"/>
    <col collapsed="false" customWidth="false" hidden="false" outlineLevel="0" max="7" min="7" style="355" width="10.71"/>
    <col collapsed="false" customWidth="true" hidden="false" outlineLevel="0" max="8" min="8" style="352" width="43.29"/>
    <col collapsed="false" customWidth="false" hidden="false" outlineLevel="0" max="33" min="9" style="352" width="10.71"/>
    <col collapsed="false" customWidth="false" hidden="false" outlineLevel="0" max="34" min="34" style="353" width="10.71"/>
    <col collapsed="false" customWidth="false" hidden="false" outlineLevel="0" max="1024" min="35" style="352" width="10.71"/>
  </cols>
  <sheetData>
    <row r="1" customFormat="false" ht="14.1" hidden="false" customHeight="true" outlineLevel="0" collapsed="false">
      <c r="A1" s="356"/>
      <c r="B1" s="357"/>
      <c r="C1" s="358"/>
      <c r="D1" s="357"/>
      <c r="E1" s="359"/>
      <c r="F1" s="358"/>
    </row>
    <row r="2" customFormat="false" ht="14.1" hidden="false" customHeight="true" outlineLevel="0" collapsed="false">
      <c r="A2" s="356"/>
      <c r="B2" s="360" t="str">
        <f aca="false">'12.lan'!D91&amp;" - "&amp;'0. Intro'!B3&amp;" "&amp;'0. Intro'!C3</f>
        <v>Common Good Balance Calculator - Version 5.04</v>
      </c>
      <c r="C2" s="360"/>
      <c r="D2" s="360"/>
      <c r="E2" s="360"/>
      <c r="F2" s="360"/>
    </row>
    <row r="3" customFormat="false" ht="7.5" hidden="false" customHeight="true" outlineLevel="0" collapsed="false">
      <c r="A3" s="356"/>
      <c r="B3" s="361" t="str">
        <f aca="false">'12.lan'!D243&amp;'1. General'!C6</f>
        <v>Theme star for company</v>
      </c>
      <c r="C3" s="361"/>
      <c r="D3" s="361"/>
      <c r="E3" s="361"/>
      <c r="F3" s="361"/>
    </row>
    <row r="4" customFormat="false" ht="15" hidden="false" customHeight="true" outlineLevel="0" collapsed="false">
      <c r="A4" s="356"/>
      <c r="B4" s="361"/>
      <c r="C4" s="361"/>
      <c r="D4" s="361"/>
      <c r="E4" s="361"/>
      <c r="F4" s="361"/>
    </row>
    <row r="5" customFormat="false" ht="30" hidden="false" customHeight="true" outlineLevel="0" collapsed="false">
      <c r="A5" s="356"/>
      <c r="B5" s="362"/>
      <c r="C5" s="358"/>
      <c r="D5" s="357"/>
      <c r="E5" s="359"/>
      <c r="F5" s="358"/>
    </row>
    <row r="6" customFormat="false" ht="14.1" hidden="false" customHeight="true" outlineLevel="0" collapsed="false">
      <c r="A6" s="356"/>
      <c r="B6" s="362"/>
      <c r="C6" s="358"/>
      <c r="D6" s="357"/>
      <c r="E6" s="359"/>
      <c r="F6" s="358"/>
    </row>
    <row r="7" customFormat="false" ht="14.1" hidden="false" customHeight="true" outlineLevel="0" collapsed="false">
      <c r="A7" s="356"/>
      <c r="B7" s="362"/>
      <c r="C7" s="363"/>
      <c r="D7" s="363"/>
      <c r="E7" s="362"/>
      <c r="F7" s="356"/>
    </row>
    <row r="8" customFormat="false" ht="15" hidden="false" customHeight="true" outlineLevel="0" collapsed="false">
      <c r="A8" s="356"/>
      <c r="B8" s="358"/>
      <c r="C8" s="358"/>
      <c r="D8" s="357"/>
      <c r="E8" s="359"/>
      <c r="F8" s="358"/>
    </row>
    <row r="9" customFormat="false" ht="30" hidden="false" customHeight="true" outlineLevel="0" collapsed="false">
      <c r="A9" s="356"/>
      <c r="B9" s="364"/>
      <c r="C9" s="365"/>
      <c r="D9" s="366"/>
      <c r="E9" s="365"/>
      <c r="F9" s="367"/>
    </row>
    <row r="10" customFormat="false" ht="30" hidden="false" customHeight="true" outlineLevel="0" collapsed="false">
      <c r="A10" s="356"/>
      <c r="B10" s="364"/>
      <c r="C10" s="365"/>
      <c r="D10" s="366"/>
      <c r="E10" s="365"/>
      <c r="F10" s="367"/>
    </row>
    <row r="11" customFormat="false" ht="30" hidden="false" customHeight="true" outlineLevel="0" collapsed="false">
      <c r="A11" s="356"/>
      <c r="B11" s="364"/>
      <c r="C11" s="365"/>
      <c r="D11" s="366"/>
      <c r="E11" s="365"/>
      <c r="F11" s="367"/>
    </row>
    <row r="12" customFormat="false" ht="30" hidden="false" customHeight="true" outlineLevel="0" collapsed="false">
      <c r="A12" s="356"/>
      <c r="B12" s="364"/>
      <c r="C12" s="365"/>
      <c r="D12" s="366"/>
      <c r="E12" s="365"/>
      <c r="F12" s="367"/>
    </row>
    <row r="13" customFormat="false" ht="30" hidden="false" customHeight="true" outlineLevel="0" collapsed="false">
      <c r="A13" s="356"/>
      <c r="B13" s="364"/>
      <c r="C13" s="365"/>
      <c r="D13" s="366"/>
      <c r="E13" s="365"/>
      <c r="F13" s="367"/>
    </row>
    <row r="14" customFormat="false" ht="14.1" hidden="false" customHeight="true" outlineLevel="0" collapsed="false">
      <c r="A14" s="356"/>
      <c r="B14" s="356"/>
      <c r="C14" s="356"/>
      <c r="D14" s="357"/>
      <c r="E14" s="356"/>
      <c r="F14" s="358"/>
    </row>
    <row r="15" customFormat="false" ht="15" hidden="false" customHeight="true" outlineLevel="0" collapsed="false">
      <c r="A15" s="356"/>
      <c r="B15" s="368"/>
      <c r="C15" s="368"/>
      <c r="D15" s="368"/>
      <c r="E15" s="368"/>
      <c r="F15" s="368"/>
    </row>
    <row r="16" customFormat="false" ht="93.75" hidden="false" customHeight="true" outlineLevel="0" collapsed="false">
      <c r="A16" s="356"/>
      <c r="B16" s="369"/>
      <c r="C16" s="369"/>
      <c r="D16" s="369"/>
      <c r="E16" s="369"/>
      <c r="F16" s="369"/>
    </row>
    <row r="17" customFormat="false" ht="30" hidden="false" customHeight="true" outlineLevel="0" collapsed="false">
      <c r="A17" s="356"/>
      <c r="B17" s="370" t="str">
        <f aca="false">'12.lan'!D221</f>
        <v>BALANCE OVERVIEW</v>
      </c>
      <c r="C17" s="370"/>
      <c r="D17" s="370"/>
      <c r="E17" s="370"/>
      <c r="F17" s="370"/>
    </row>
    <row r="18" s="355" customFormat="true" ht="26.25" hidden="false" customHeight="true" outlineLevel="0" collapsed="false">
      <c r="A18" s="356"/>
      <c r="B18" s="371" t="s">
        <v>23</v>
      </c>
      <c r="C18" s="372" t="n">
        <f aca="false">'4. ECG-Matrix'!C9</f>
        <v>8.33333333333333</v>
      </c>
      <c r="D18" s="373" t="str">
        <f aca="false">'12.lan'!$D$214</f>
        <v>of</v>
      </c>
      <c r="E18" s="374" t="n">
        <f aca="false">'4. ECG-Matrix'!E9</f>
        <v>83.3333333333333</v>
      </c>
      <c r="F18" s="382" t="n">
        <f aca="false">C18/E18</f>
        <v>0.1</v>
      </c>
      <c r="G18" s="376" t="n">
        <f aca="false">IF(F18&lt;0,0,F18)</f>
        <v>0.1</v>
      </c>
      <c r="AH18" s="383"/>
      <c r="AI18" s="384"/>
      <c r="AM18" s="384"/>
    </row>
    <row r="19" s="355" customFormat="true" ht="26.25" hidden="false" customHeight="true" outlineLevel="0" collapsed="false">
      <c r="A19" s="356"/>
      <c r="B19" s="371" t="s">
        <v>26</v>
      </c>
      <c r="C19" s="372" t="n">
        <f aca="false">'4. ECG-Matrix'!G9</f>
        <v>8.33333333333333</v>
      </c>
      <c r="D19" s="373" t="str">
        <f aca="false">'12.lan'!$D$214</f>
        <v>of</v>
      </c>
      <c r="E19" s="374" t="n">
        <f aca="false">'4. ECG-Matrix'!I9</f>
        <v>83.3333333333333</v>
      </c>
      <c r="F19" s="382" t="n">
        <f aca="false">C19/E19</f>
        <v>0.1</v>
      </c>
      <c r="G19" s="376" t="n">
        <f aca="false">IF(F19&lt;0,0,F19)</f>
        <v>0.1</v>
      </c>
      <c r="AH19" s="383"/>
      <c r="AI19" s="384"/>
      <c r="AM19" s="384"/>
    </row>
    <row r="20" s="355" customFormat="true" ht="26.25" hidden="false" customHeight="true" outlineLevel="0" collapsed="false">
      <c r="A20" s="356"/>
      <c r="B20" s="371" t="s">
        <v>30</v>
      </c>
      <c r="C20" s="372" t="n">
        <f aca="false">'4. ECG-Matrix'!K9</f>
        <v>8.33333333333333</v>
      </c>
      <c r="D20" s="373" t="str">
        <f aca="false">'12.lan'!$D$214</f>
        <v>of</v>
      </c>
      <c r="E20" s="374" t="n">
        <f aca="false">'4. ECG-Matrix'!M9</f>
        <v>83.3333333333333</v>
      </c>
      <c r="F20" s="382" t="n">
        <f aca="false">C20/E20</f>
        <v>0.1</v>
      </c>
      <c r="G20" s="376" t="n">
        <f aca="false">IF(F20&lt;0,0,F20)</f>
        <v>0.1</v>
      </c>
      <c r="AH20" s="383"/>
      <c r="AI20" s="384"/>
      <c r="AM20" s="384"/>
    </row>
    <row r="21" s="355" customFormat="true" ht="26.25" hidden="false" customHeight="true" outlineLevel="0" collapsed="false">
      <c r="A21" s="356"/>
      <c r="B21" s="371" t="s">
        <v>33</v>
      </c>
      <c r="C21" s="372" t="n">
        <f aca="false">'4. ECG-Matrix'!O9</f>
        <v>50</v>
      </c>
      <c r="D21" s="373" t="str">
        <f aca="false">'12.lan'!$D$214</f>
        <v>of</v>
      </c>
      <c r="E21" s="374" t="n">
        <f aca="false">'4. ECG-Matrix'!Q9</f>
        <v>83.3333333333333</v>
      </c>
      <c r="F21" s="382" t="n">
        <f aca="false">C21/E21</f>
        <v>0.6</v>
      </c>
      <c r="G21" s="376" t="n">
        <f aca="false">IF(F21&lt;0,0,F21)</f>
        <v>0.6</v>
      </c>
      <c r="AH21" s="383"/>
      <c r="AI21" s="384"/>
      <c r="AM21" s="384"/>
    </row>
    <row r="22" s="355" customFormat="true" ht="26.25" hidden="false" customHeight="true" outlineLevel="0" collapsed="false">
      <c r="A22" s="356"/>
      <c r="B22" s="371" t="s">
        <v>37</v>
      </c>
      <c r="C22" s="372" t="n">
        <f aca="false">'4. ECG-Matrix'!C11</f>
        <v>22.2222222222222</v>
      </c>
      <c r="D22" s="373" t="str">
        <f aca="false">'12.lan'!$D$214</f>
        <v>of</v>
      </c>
      <c r="E22" s="374" t="n">
        <f aca="false">'4. ECG-Matrix'!E11</f>
        <v>27.7777777777778</v>
      </c>
      <c r="F22" s="382" t="n">
        <f aca="false">C22/E22</f>
        <v>0.8</v>
      </c>
      <c r="G22" s="376" t="n">
        <f aca="false">IF(F22&lt;0,0,F22)</f>
        <v>0.8</v>
      </c>
      <c r="AH22" s="383"/>
      <c r="AI22" s="384"/>
      <c r="AM22" s="384"/>
    </row>
    <row r="23" s="355" customFormat="true" ht="26.25" hidden="false" customHeight="true" outlineLevel="0" collapsed="false">
      <c r="A23" s="356"/>
      <c r="B23" s="371" t="s">
        <v>41</v>
      </c>
      <c r="C23" s="372" t="n">
        <f aca="false">'4. ECG-Matrix'!G11</f>
        <v>2.77777777777778</v>
      </c>
      <c r="D23" s="373" t="str">
        <f aca="false">'12.lan'!$D$214</f>
        <v>of</v>
      </c>
      <c r="E23" s="374" t="n">
        <f aca="false">'4. ECG-Matrix'!I11</f>
        <v>27.7777777777778</v>
      </c>
      <c r="F23" s="382" t="n">
        <f aca="false">C23/E23</f>
        <v>0.1</v>
      </c>
      <c r="G23" s="376" t="n">
        <f aca="false">IF(F23&lt;0,0,F23)</f>
        <v>0.1</v>
      </c>
      <c r="AH23" s="383"/>
      <c r="AI23" s="384"/>
      <c r="AM23" s="384"/>
    </row>
    <row r="24" s="355" customFormat="true" ht="26.25" hidden="false" customHeight="true" outlineLevel="0" collapsed="false">
      <c r="A24" s="356"/>
      <c r="B24" s="371" t="s">
        <v>44</v>
      </c>
      <c r="C24" s="372" t="n">
        <f aca="false">'4. ECG-Matrix'!K11</f>
        <v>8.33333333333333</v>
      </c>
      <c r="D24" s="373" t="str">
        <f aca="false">'12.lan'!$D$214</f>
        <v>of</v>
      </c>
      <c r="E24" s="374" t="n">
        <f aca="false">'4. ECG-Matrix'!M11</f>
        <v>27.7777777777778</v>
      </c>
      <c r="F24" s="382" t="n">
        <f aca="false">C24/E24</f>
        <v>0.3</v>
      </c>
      <c r="G24" s="376" t="n">
        <f aca="false">IF(F24&lt;0,0,F24)</f>
        <v>0.3</v>
      </c>
      <c r="AH24" s="383"/>
      <c r="AI24" s="384"/>
      <c r="AM24" s="384"/>
    </row>
    <row r="25" s="355" customFormat="true" ht="26.25" hidden="false" customHeight="true" outlineLevel="0" collapsed="false">
      <c r="A25" s="356"/>
      <c r="B25" s="371" t="s">
        <v>48</v>
      </c>
      <c r="C25" s="372" t="n">
        <f aca="false">'4. ECG-Matrix'!O11</f>
        <v>2.77777777777778</v>
      </c>
      <c r="D25" s="373" t="str">
        <f aca="false">'12.lan'!$D$214</f>
        <v>of</v>
      </c>
      <c r="E25" s="374" t="n">
        <f aca="false">'4. ECG-Matrix'!Q11</f>
        <v>27.7777777777778</v>
      </c>
      <c r="F25" s="382" t="n">
        <f aca="false">C25/E25</f>
        <v>0.1</v>
      </c>
      <c r="G25" s="376" t="n">
        <f aca="false">IF(F25&lt;0,0,F25)</f>
        <v>0.1</v>
      </c>
      <c r="AH25" s="383"/>
      <c r="AI25" s="384"/>
      <c r="AM25" s="384"/>
    </row>
    <row r="26" s="355" customFormat="true" ht="26.25" hidden="false" customHeight="true" outlineLevel="0" collapsed="false">
      <c r="A26" s="356"/>
      <c r="B26" s="371" t="s">
        <v>52</v>
      </c>
      <c r="C26" s="372" t="n">
        <f aca="false">'4. ECG-Matrix'!C13</f>
        <v>5.55555555555556</v>
      </c>
      <c r="D26" s="373" t="str">
        <f aca="false">'12.lan'!$D$214</f>
        <v>of</v>
      </c>
      <c r="E26" s="374" t="n">
        <f aca="false">'4. ECG-Matrix'!E13</f>
        <v>27.7777777777778</v>
      </c>
      <c r="F26" s="382" t="n">
        <f aca="false">C26/E26</f>
        <v>0.2</v>
      </c>
      <c r="G26" s="376" t="n">
        <f aca="false">IF(F26&lt;0,0,F26)</f>
        <v>0.2</v>
      </c>
      <c r="AH26" s="383"/>
      <c r="AI26" s="384"/>
      <c r="AM26" s="384"/>
    </row>
    <row r="27" s="355" customFormat="true" ht="26.25" hidden="false" customHeight="true" outlineLevel="0" collapsed="false">
      <c r="A27" s="356"/>
      <c r="B27" s="371" t="s">
        <v>57</v>
      </c>
      <c r="C27" s="372" t="n">
        <f aca="false">'4. ECG-Matrix'!G13</f>
        <v>5.55555555555556</v>
      </c>
      <c r="D27" s="373" t="str">
        <f aca="false">'12.lan'!$D$214</f>
        <v>of</v>
      </c>
      <c r="E27" s="374" t="n">
        <f aca="false">'4. ECG-Matrix'!I13</f>
        <v>27.7777777777778</v>
      </c>
      <c r="F27" s="382" t="n">
        <f aca="false">C27/E27</f>
        <v>0.2</v>
      </c>
      <c r="G27" s="376" t="n">
        <f aca="false">IF(F27&lt;0,0,F27)</f>
        <v>0.2</v>
      </c>
      <c r="AH27" s="383"/>
      <c r="AI27" s="384"/>
      <c r="AM27" s="384"/>
    </row>
    <row r="28" s="355" customFormat="true" ht="26.25" hidden="false" customHeight="true" outlineLevel="0" collapsed="false">
      <c r="A28" s="356"/>
      <c r="B28" s="371" t="s">
        <v>62</v>
      </c>
      <c r="C28" s="372" t="n">
        <f aca="false">'4. ECG-Matrix'!K13</f>
        <v>5.55555555555556</v>
      </c>
      <c r="D28" s="373" t="str">
        <f aca="false">'12.lan'!$D$214</f>
        <v>of</v>
      </c>
      <c r="E28" s="374" t="n">
        <f aca="false">'4. ECG-Matrix'!M13</f>
        <v>27.7777777777778</v>
      </c>
      <c r="F28" s="382" t="n">
        <f aca="false">C28/E28</f>
        <v>0.2</v>
      </c>
      <c r="G28" s="376" t="n">
        <f aca="false">IF(F28&lt;0,0,F28)</f>
        <v>0.2</v>
      </c>
      <c r="AH28" s="383"/>
      <c r="AI28" s="384"/>
      <c r="AM28" s="384"/>
    </row>
    <row r="29" s="355" customFormat="true" ht="26.25" hidden="false" customHeight="true" outlineLevel="0" collapsed="false">
      <c r="A29" s="356"/>
      <c r="B29" s="371" t="s">
        <v>67</v>
      </c>
      <c r="C29" s="372" t="n">
        <f aca="false">'4. ECG-Matrix'!O13</f>
        <v>5.55555555555556</v>
      </c>
      <c r="D29" s="373" t="str">
        <f aca="false">'12.lan'!$D$214</f>
        <v>of</v>
      </c>
      <c r="E29" s="374" t="n">
        <f aca="false">'4. ECG-Matrix'!Q13</f>
        <v>27.7777777777778</v>
      </c>
      <c r="F29" s="382" t="n">
        <f aca="false">C29/E29</f>
        <v>0.2</v>
      </c>
      <c r="G29" s="376" t="n">
        <f aca="false">IF(F29&lt;0,0,F29)</f>
        <v>0.2</v>
      </c>
      <c r="AH29" s="383"/>
      <c r="AI29" s="384"/>
      <c r="AM29" s="384"/>
    </row>
    <row r="30" s="355" customFormat="true" ht="26.25" hidden="false" customHeight="true" outlineLevel="0" collapsed="false">
      <c r="A30" s="356"/>
      <c r="B30" s="371" t="s">
        <v>73</v>
      </c>
      <c r="C30" s="372" t="n">
        <f aca="false">'4. ECG-Matrix'!C15</f>
        <v>0</v>
      </c>
      <c r="D30" s="373" t="str">
        <f aca="false">'12.lan'!$D$214</f>
        <v>of</v>
      </c>
      <c r="E30" s="374" t="n">
        <f aca="false">'4. ECG-Matrix'!E15</f>
        <v>55.5555555555556</v>
      </c>
      <c r="F30" s="382" t="n">
        <f aca="false">C30/E30</f>
        <v>0</v>
      </c>
      <c r="G30" s="376" t="n">
        <f aca="false">IF(F30&lt;0,0,F30)</f>
        <v>0</v>
      </c>
      <c r="AH30" s="383"/>
      <c r="AI30" s="384"/>
      <c r="AM30" s="384"/>
    </row>
    <row r="31" s="355" customFormat="true" ht="26.25" hidden="false" customHeight="true" outlineLevel="0" collapsed="false">
      <c r="A31" s="356"/>
      <c r="B31" s="371" t="s">
        <v>77</v>
      </c>
      <c r="C31" s="372" t="n">
        <f aca="false">'4. ECG-Matrix'!G15</f>
        <v>22.2222222222222</v>
      </c>
      <c r="D31" s="373" t="str">
        <f aca="false">'12.lan'!$D$214</f>
        <v>of</v>
      </c>
      <c r="E31" s="374" t="n">
        <f aca="false">'4. ECG-Matrix'!I15</f>
        <v>55.5555555555556</v>
      </c>
      <c r="F31" s="382" t="n">
        <f aca="false">C31/E31</f>
        <v>0.4</v>
      </c>
      <c r="G31" s="376" t="n">
        <f aca="false">IF(F31&lt;0,0,F31)</f>
        <v>0.4</v>
      </c>
      <c r="AH31" s="383"/>
      <c r="AI31" s="384"/>
      <c r="AM31" s="384"/>
    </row>
    <row r="32" s="355" customFormat="true" ht="26.25" hidden="false" customHeight="true" outlineLevel="0" collapsed="false">
      <c r="A32" s="356"/>
      <c r="B32" s="371" t="s">
        <v>81</v>
      </c>
      <c r="C32" s="372" t="n">
        <f aca="false">'4. ECG-Matrix'!K15</f>
        <v>0</v>
      </c>
      <c r="D32" s="373" t="str">
        <f aca="false">'12.lan'!$D$214</f>
        <v>of</v>
      </c>
      <c r="E32" s="374" t="n">
        <f aca="false">'4. ECG-Matrix'!M15</f>
        <v>55.5555555555556</v>
      </c>
      <c r="F32" s="382" t="n">
        <f aca="false">C32/E32</f>
        <v>0</v>
      </c>
      <c r="G32" s="376" t="n">
        <f aca="false">IF(F32&lt;0,0,F32)</f>
        <v>0</v>
      </c>
      <c r="AH32" s="383"/>
      <c r="AI32" s="384"/>
      <c r="AM32" s="384"/>
    </row>
    <row r="33" s="355" customFormat="true" ht="26.25" hidden="false" customHeight="true" outlineLevel="0" collapsed="false">
      <c r="A33" s="356"/>
      <c r="B33" s="371" t="s">
        <v>85</v>
      </c>
      <c r="C33" s="372" t="n">
        <f aca="false">'4. ECG-Matrix'!O15</f>
        <v>0</v>
      </c>
      <c r="D33" s="373" t="str">
        <f aca="false">'12.lan'!$D$214</f>
        <v>of</v>
      </c>
      <c r="E33" s="374" t="n">
        <f aca="false">'4. ECG-Matrix'!Q15</f>
        <v>55.5555555555556</v>
      </c>
      <c r="F33" s="382" t="n">
        <f aca="false">C33/E33</f>
        <v>0</v>
      </c>
      <c r="G33" s="376" t="n">
        <f aca="false">IF(F33&lt;0,0,F33)</f>
        <v>0</v>
      </c>
      <c r="AH33" s="383"/>
      <c r="AI33" s="384"/>
      <c r="AM33" s="384"/>
    </row>
    <row r="34" s="355" customFormat="true" ht="26.25" hidden="false" customHeight="true" outlineLevel="0" collapsed="false">
      <c r="A34" s="356"/>
      <c r="B34" s="371" t="s">
        <v>89</v>
      </c>
      <c r="C34" s="372" t="n">
        <f aca="false">'4. ECG-Matrix'!C17</f>
        <v>0</v>
      </c>
      <c r="D34" s="373" t="str">
        <f aca="false">'12.lan'!$D$214</f>
        <v>of</v>
      </c>
      <c r="E34" s="374" t="n">
        <f aca="false">'4. ECG-Matrix'!E17</f>
        <v>55.5555555555556</v>
      </c>
      <c r="F34" s="382" t="n">
        <f aca="false">C34/E34</f>
        <v>0</v>
      </c>
      <c r="G34" s="376" t="n">
        <f aca="false">IF(F34&lt;0,0,F34)</f>
        <v>0</v>
      </c>
      <c r="AH34" s="383"/>
      <c r="AI34" s="384"/>
      <c r="AM34" s="384"/>
    </row>
    <row r="35" s="355" customFormat="true" ht="26.25" hidden="false" customHeight="true" outlineLevel="0" collapsed="false">
      <c r="A35" s="356"/>
      <c r="B35" s="371" t="s">
        <v>93</v>
      </c>
      <c r="C35" s="372" t="n">
        <f aca="false">'4. ECG-Matrix'!G17</f>
        <v>11.1111111111111</v>
      </c>
      <c r="D35" s="373" t="str">
        <f aca="false">'12.lan'!$D$214</f>
        <v>of</v>
      </c>
      <c r="E35" s="374" t="n">
        <f aca="false">'4. ECG-Matrix'!I17</f>
        <v>55.5555555555556</v>
      </c>
      <c r="F35" s="382" t="n">
        <f aca="false">C35/E35</f>
        <v>0.2</v>
      </c>
      <c r="G35" s="376" t="n">
        <f aca="false">IF(F35&lt;0,0,F35)</f>
        <v>0.2</v>
      </c>
      <c r="AH35" s="383"/>
      <c r="AI35" s="384"/>
      <c r="AM35" s="384"/>
    </row>
    <row r="36" s="355" customFormat="true" ht="26.25" hidden="false" customHeight="true" outlineLevel="0" collapsed="false">
      <c r="A36" s="356"/>
      <c r="B36" s="371" t="s">
        <v>98</v>
      </c>
      <c r="C36" s="372" t="n">
        <f aca="false">'4. ECG-Matrix'!K17</f>
        <v>22.2222222222222</v>
      </c>
      <c r="D36" s="373" t="str">
        <f aca="false">'12.lan'!$D$214</f>
        <v>of</v>
      </c>
      <c r="E36" s="374" t="n">
        <f aca="false">'4. ECG-Matrix'!M17</f>
        <v>55.5555555555556</v>
      </c>
      <c r="F36" s="382" t="n">
        <f aca="false">C36/E36</f>
        <v>0.4</v>
      </c>
      <c r="G36" s="376" t="n">
        <f aca="false">IF(F36&lt;0,0,F36)</f>
        <v>0.4</v>
      </c>
      <c r="AH36" s="383"/>
      <c r="AI36" s="384"/>
      <c r="AM36" s="384"/>
    </row>
    <row r="37" s="355" customFormat="true" ht="26.25" hidden="false" customHeight="true" outlineLevel="0" collapsed="false">
      <c r="A37" s="356"/>
      <c r="B37" s="371" t="s">
        <v>102</v>
      </c>
      <c r="C37" s="372" t="n">
        <f aca="false">'4. ECG-Matrix'!O17</f>
        <v>33.3333333333333</v>
      </c>
      <c r="D37" s="373" t="str">
        <f aca="false">'12.lan'!$D$214</f>
        <v>of</v>
      </c>
      <c r="E37" s="374" t="n">
        <f aca="false">'4. ECG-Matrix'!Q17</f>
        <v>55.5555555555556</v>
      </c>
      <c r="F37" s="382" t="n">
        <f aca="false">C37/E37</f>
        <v>0.6</v>
      </c>
      <c r="G37" s="376" t="n">
        <f aca="false">IF(F37&lt;0,0,F37)</f>
        <v>0.6</v>
      </c>
      <c r="AH37" s="383"/>
      <c r="AI37" s="384"/>
      <c r="AM37" s="384"/>
    </row>
    <row r="38" s="355" customFormat="true" ht="30" hidden="false" customHeight="true" outlineLevel="0" collapsed="false">
      <c r="A38" s="356"/>
      <c r="B38" s="377" t="str">
        <f aca="false">'12.lan'!D228</f>
        <v>TOTAL</v>
      </c>
      <c r="C38" s="378" t="n">
        <f aca="false">'3. Calc'!I4</f>
        <v>222.222222222222</v>
      </c>
      <c r="D38" s="385" t="str">
        <f aca="false">'12.lan'!$D$214</f>
        <v>of</v>
      </c>
      <c r="E38" s="380" t="n">
        <f aca="false">'3. Calc'!J4</f>
        <v>1000</v>
      </c>
      <c r="F38" s="386" t="n">
        <f aca="false">C38/E38</f>
        <v>0.222222222222222</v>
      </c>
      <c r="AH38" s="383"/>
    </row>
    <row r="39" s="355" customFormat="true" ht="14.1" hidden="false" customHeight="true" outlineLevel="0" collapsed="false">
      <c r="A39" s="356"/>
      <c r="B39" s="356"/>
      <c r="C39" s="356"/>
      <c r="D39" s="357"/>
      <c r="E39" s="356"/>
      <c r="F39" s="358"/>
      <c r="AH39" s="383"/>
    </row>
  </sheetData>
  <sheetProtection algorithmName="SHA-512" hashValue="35Mw97Z/YNv32hbSmWF01SPhRkm4rthQVP6GoRaY4M6KGgH4NPUWxuH9nuZi9iKzujpUEaXspZ9Sg07TqHoX+g==" saltValue="0iIvIt9GltXChdBdzyHTlg==" spinCount="100000" sheet="true" objects="true" scenarios="true"/>
  <mergeCells count="5">
    <mergeCell ref="B2:F2"/>
    <mergeCell ref="B3:F4"/>
    <mergeCell ref="B15:F15"/>
    <mergeCell ref="B16:F16"/>
    <mergeCell ref="B17:F17"/>
  </mergeCells>
  <conditionalFormatting sqref="F18:F37">
    <cfRule type="cellIs" priority="2" operator="lessThan" aboveAverage="0" equalAverage="0" bottom="0" percent="0" rank="0" text="" dxfId="24">
      <formula>0</formula>
    </cfRule>
  </conditionalFormatting>
  <conditionalFormatting sqref="F38">
    <cfRule type="cellIs" priority="3" operator="lessThan" aboveAverage="0" equalAverage="0" bottom="0" percent="0" rank="0" text="" dxfId="25">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22</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creator>Usuario6</dc:creator>
  <dc:description/>
  <dc:language>de-DE</dc:language>
  <cp:lastModifiedBy/>
  <dcterms:modified xsi:type="dcterms:W3CDTF">2021-02-25T17:30:57Z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